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showInkAnnotation="0"/>
  <mc:AlternateContent xmlns:mc="http://schemas.openxmlformats.org/markup-compatibility/2006">
    <mc:Choice Requires="x15">
      <x15ac:absPath xmlns:x15ac="http://schemas.microsoft.com/office/spreadsheetml/2010/11/ac" url="D:\Documents\Dropbox\HKCASA\Common\"/>
    </mc:Choice>
  </mc:AlternateContent>
  <xr:revisionPtr revIDLastSave="0" documentId="13_ncr:1_{92B8DC1A-FE5C-42E1-ACF2-9FF387FDE816}" xr6:coauthVersionLast="47" xr6:coauthVersionMax="47" xr10:uidLastSave="{00000000-0000-0000-0000-000000000000}"/>
  <workbookProtection workbookPassword="CF7A" lockStructure="1"/>
  <bookViews>
    <workbookView xWindow="-120" yWindow="-120" windowWidth="29040" windowHeight="15720" xr2:uid="{00000000-000D-0000-FFFF-FFFF00000000}"/>
  </bookViews>
  <sheets>
    <sheet name="報名總表及收費" sheetId="1" r:id="rId1"/>
    <sheet name="男" sheetId="2" r:id="rId2"/>
    <sheet name="女" sheetId="3" r:id="rId3"/>
    <sheet name="運動員註冊表" sheetId="4" r:id="rId4"/>
  </sheets>
  <definedNames>
    <definedName name="_xlnm.Print_Area" localSheetId="2">女!$A$1:$M$164</definedName>
    <definedName name="_xlnm.Print_Area" localSheetId="1">男!$A$1:$M$164</definedName>
    <definedName name="_xlnm.Print_Area" localSheetId="0">報名總表及收費!$A$1:$F$33</definedName>
    <definedName name="_xlnm.Print_Area" localSheetId="3">運動員註冊表!$A$1:$F$213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64" i="3" l="1"/>
  <c r="Q65" i="3"/>
  <c r="Q66" i="3"/>
  <c r="Q67" i="3"/>
  <c r="Q68" i="3"/>
  <c r="Q69" i="3"/>
  <c r="Q70" i="3"/>
  <c r="Q71" i="3"/>
  <c r="Q72" i="3"/>
  <c r="Q73" i="3"/>
  <c r="Q74" i="3"/>
  <c r="Q75" i="3"/>
  <c r="Q76" i="3"/>
  <c r="Q77" i="3"/>
  <c r="Q78" i="3"/>
  <c r="Q79" i="3"/>
  <c r="Q80" i="3"/>
  <c r="Q81" i="3"/>
  <c r="Q82" i="3"/>
  <c r="Q83" i="3"/>
  <c r="Q84" i="3"/>
  <c r="Q85" i="3"/>
  <c r="Q86" i="3"/>
  <c r="Q87" i="3"/>
  <c r="Q88" i="3"/>
  <c r="Q89" i="3"/>
  <c r="Q90" i="3"/>
  <c r="Q91" i="3"/>
  <c r="Q92" i="3"/>
  <c r="Q93" i="3"/>
  <c r="Q94" i="3"/>
  <c r="Q95" i="3"/>
  <c r="Q96" i="3"/>
  <c r="Q97" i="3"/>
  <c r="Q98" i="3"/>
  <c r="Q99" i="3"/>
  <c r="Q100" i="3"/>
  <c r="Q101" i="3"/>
  <c r="Q102" i="3"/>
  <c r="Q103" i="3"/>
  <c r="Q104" i="3"/>
  <c r="Q105" i="3"/>
  <c r="Q106" i="3"/>
  <c r="Q107" i="3"/>
  <c r="Q108" i="3"/>
  <c r="Q109" i="3"/>
  <c r="Q110" i="3"/>
  <c r="Q111" i="3"/>
  <c r="Q112" i="3"/>
  <c r="Q113" i="3"/>
  <c r="Q114" i="3"/>
  <c r="Q115" i="3"/>
  <c r="Q116" i="3"/>
  <c r="Q117" i="3"/>
  <c r="Q118" i="3"/>
  <c r="Q119" i="3"/>
  <c r="Q120" i="3"/>
  <c r="Q121" i="3"/>
  <c r="Q122" i="3"/>
  <c r="Q123" i="3"/>
  <c r="Q124" i="3"/>
  <c r="Q125" i="3"/>
  <c r="Q126" i="3"/>
  <c r="Q127" i="3"/>
  <c r="Q128" i="3"/>
  <c r="Q129" i="3"/>
  <c r="Q130" i="3"/>
  <c r="Q131" i="3"/>
  <c r="Q132" i="3"/>
  <c r="Q133" i="3"/>
  <c r="Q134" i="3"/>
  <c r="Q135" i="3"/>
  <c r="Q136" i="3"/>
  <c r="Q137" i="3"/>
  <c r="Q138" i="3"/>
  <c r="Q139" i="3"/>
  <c r="Q140" i="3"/>
  <c r="Q141" i="3"/>
  <c r="Q142" i="3"/>
  <c r="Q143" i="3"/>
  <c r="Q144" i="3"/>
  <c r="Q145" i="3"/>
  <c r="Q146" i="3"/>
  <c r="Q147" i="3"/>
  <c r="Q148" i="3"/>
  <c r="Q149" i="3"/>
  <c r="Q150" i="3"/>
  <c r="Q151" i="3"/>
  <c r="Q152" i="3"/>
  <c r="Q153" i="3"/>
  <c r="Q154" i="3"/>
  <c r="Q155" i="3"/>
  <c r="Q156" i="3"/>
  <c r="Q157" i="3"/>
  <c r="Q158" i="3"/>
  <c r="Q159" i="3"/>
  <c r="Q160" i="3"/>
  <c r="Q161" i="3"/>
  <c r="Q162" i="3"/>
  <c r="Q163" i="3"/>
  <c r="Q164" i="3"/>
  <c r="F38" i="3"/>
  <c r="M19" i="3"/>
  <c r="S25" i="3"/>
  <c r="S26" i="3"/>
  <c r="R27" i="3"/>
  <c r="T27" i="3" s="1"/>
  <c r="S27" i="3"/>
  <c r="S28" i="3"/>
  <c r="R29" i="3"/>
  <c r="T29" i="3" s="1"/>
  <c r="S29" i="3"/>
  <c r="S30" i="3"/>
  <c r="R31" i="3"/>
  <c r="T31" i="3" s="1"/>
  <c r="S31" i="3"/>
  <c r="S32" i="3"/>
  <c r="R33" i="3"/>
  <c r="T33" i="3" s="1"/>
  <c r="S33" i="3"/>
  <c r="S34" i="3"/>
  <c r="R35" i="3"/>
  <c r="T35" i="3" s="1"/>
  <c r="S35" i="3"/>
  <c r="S36" i="3"/>
  <c r="R37" i="3"/>
  <c r="T37" i="3" s="1"/>
  <c r="S37" i="3"/>
  <c r="S38" i="3"/>
  <c r="R39" i="3"/>
  <c r="S39" i="3"/>
  <c r="S40" i="3"/>
  <c r="R41" i="3"/>
  <c r="T41" i="3" s="1"/>
  <c r="S41" i="3"/>
  <c r="S42" i="3"/>
  <c r="R43" i="3"/>
  <c r="T43" i="3" s="1"/>
  <c r="S43" i="3"/>
  <c r="S44" i="3"/>
  <c r="R45" i="3"/>
  <c r="T45" i="3" s="1"/>
  <c r="S45" i="3"/>
  <c r="S46" i="3"/>
  <c r="R47" i="3"/>
  <c r="T47" i="3" s="1"/>
  <c r="S47" i="3"/>
  <c r="S48" i="3"/>
  <c r="R49" i="3"/>
  <c r="T49" i="3" s="1"/>
  <c r="S49" i="3"/>
  <c r="S50" i="3"/>
  <c r="R51" i="3"/>
  <c r="T51" i="3" s="1"/>
  <c r="S51" i="3"/>
  <c r="S52" i="3"/>
  <c r="R53" i="3"/>
  <c r="T53" i="3" s="1"/>
  <c r="S53" i="3"/>
  <c r="S54" i="3"/>
  <c r="R55" i="3"/>
  <c r="T55" i="3" s="1"/>
  <c r="S55" i="3"/>
  <c r="S56" i="3"/>
  <c r="R57" i="3"/>
  <c r="T57" i="3" s="1"/>
  <c r="S57" i="3"/>
  <c r="S58" i="3"/>
  <c r="R59" i="3"/>
  <c r="T59" i="3" s="1"/>
  <c r="S59" i="3"/>
  <c r="S60" i="3"/>
  <c r="R61" i="3"/>
  <c r="T61" i="3" s="1"/>
  <c r="S61" i="3"/>
  <c r="S62" i="3"/>
  <c r="R63" i="3"/>
  <c r="T63" i="3" s="1"/>
  <c r="S63" i="3"/>
  <c r="S64" i="3"/>
  <c r="R65" i="3"/>
  <c r="T65" i="3" s="1"/>
  <c r="S65" i="3"/>
  <c r="S66" i="3"/>
  <c r="R67" i="3"/>
  <c r="S67" i="3"/>
  <c r="S68" i="3"/>
  <c r="R69" i="3"/>
  <c r="T69" i="3" s="1"/>
  <c r="S69" i="3"/>
  <c r="S70" i="3"/>
  <c r="R71" i="3"/>
  <c r="T71" i="3" s="1"/>
  <c r="S71" i="3"/>
  <c r="S72" i="3"/>
  <c r="R73" i="3"/>
  <c r="T73" i="3" s="1"/>
  <c r="S73" i="3"/>
  <c r="S74" i="3"/>
  <c r="R75" i="3"/>
  <c r="T75" i="3" s="1"/>
  <c r="S75" i="3"/>
  <c r="S76" i="3"/>
  <c r="R77" i="3"/>
  <c r="S77" i="3"/>
  <c r="R78" i="3"/>
  <c r="T78" i="3" s="1"/>
  <c r="S78" i="3"/>
  <c r="R79" i="3"/>
  <c r="T79" i="3" s="1"/>
  <c r="S79" i="3"/>
  <c r="R80" i="3"/>
  <c r="T80" i="3" s="1"/>
  <c r="S80" i="3"/>
  <c r="R81" i="3"/>
  <c r="T81" i="3" s="1"/>
  <c r="S81" i="3"/>
  <c r="R82" i="3"/>
  <c r="T82" i="3" s="1"/>
  <c r="S82" i="3"/>
  <c r="R83" i="3"/>
  <c r="T83" i="3" s="1"/>
  <c r="S83" i="3"/>
  <c r="R84" i="3"/>
  <c r="T84" i="3" s="1"/>
  <c r="S84" i="3"/>
  <c r="R85" i="3"/>
  <c r="T85" i="3" s="1"/>
  <c r="S85" i="3"/>
  <c r="R86" i="3"/>
  <c r="T86" i="3" s="1"/>
  <c r="S86" i="3"/>
  <c r="R87" i="3"/>
  <c r="T87" i="3" s="1"/>
  <c r="S87" i="3"/>
  <c r="R88" i="3"/>
  <c r="T88" i="3" s="1"/>
  <c r="S88" i="3"/>
  <c r="R89" i="3"/>
  <c r="S89" i="3"/>
  <c r="R90" i="3"/>
  <c r="T90" i="3" s="1"/>
  <c r="S90" i="3"/>
  <c r="R91" i="3"/>
  <c r="T91" i="3" s="1"/>
  <c r="S91" i="3"/>
  <c r="R92" i="3"/>
  <c r="S92" i="3"/>
  <c r="R93" i="3"/>
  <c r="T93" i="3" s="1"/>
  <c r="S93" i="3"/>
  <c r="R94" i="3"/>
  <c r="T94" i="3" s="1"/>
  <c r="S94" i="3"/>
  <c r="R95" i="3"/>
  <c r="T95" i="3" s="1"/>
  <c r="S95" i="3"/>
  <c r="R96" i="3"/>
  <c r="T96" i="3" s="1"/>
  <c r="S96" i="3"/>
  <c r="R97" i="3"/>
  <c r="S97" i="3"/>
  <c r="R98" i="3"/>
  <c r="S98" i="3"/>
  <c r="R99" i="3"/>
  <c r="T99" i="3" s="1"/>
  <c r="S99" i="3"/>
  <c r="R100" i="3"/>
  <c r="T100" i="3" s="1"/>
  <c r="S100" i="3"/>
  <c r="R101" i="3"/>
  <c r="T101" i="3" s="1"/>
  <c r="S101" i="3"/>
  <c r="R102" i="3"/>
  <c r="T102" i="3" s="1"/>
  <c r="S102" i="3"/>
  <c r="R103" i="3"/>
  <c r="T103" i="3" s="1"/>
  <c r="S103" i="3"/>
  <c r="R104" i="3"/>
  <c r="T104" i="3" s="1"/>
  <c r="S104" i="3"/>
  <c r="R105" i="3"/>
  <c r="T105" i="3" s="1"/>
  <c r="S105" i="3"/>
  <c r="R106" i="3"/>
  <c r="T106" i="3" s="1"/>
  <c r="S106" i="3"/>
  <c r="R107" i="3"/>
  <c r="T107" i="3" s="1"/>
  <c r="S107" i="3"/>
  <c r="R108" i="3"/>
  <c r="T108" i="3" s="1"/>
  <c r="S108" i="3"/>
  <c r="R109" i="3"/>
  <c r="S109" i="3"/>
  <c r="R110" i="3"/>
  <c r="T110" i="3" s="1"/>
  <c r="S110" i="3"/>
  <c r="R111" i="3"/>
  <c r="T111" i="3" s="1"/>
  <c r="S111" i="3"/>
  <c r="R112" i="3"/>
  <c r="T112" i="3" s="1"/>
  <c r="S112" i="3"/>
  <c r="R113" i="3"/>
  <c r="T113" i="3" s="1"/>
  <c r="S113" i="3"/>
  <c r="R114" i="3"/>
  <c r="T114" i="3" s="1"/>
  <c r="S114" i="3"/>
  <c r="R115" i="3"/>
  <c r="T115" i="3" s="1"/>
  <c r="S115" i="3"/>
  <c r="R116" i="3"/>
  <c r="T116" i="3" s="1"/>
  <c r="S116" i="3"/>
  <c r="R117" i="3"/>
  <c r="T117" i="3" s="1"/>
  <c r="S117" i="3"/>
  <c r="R118" i="3"/>
  <c r="T118" i="3" s="1"/>
  <c r="S118" i="3"/>
  <c r="R119" i="3"/>
  <c r="T119" i="3" s="1"/>
  <c r="S119" i="3"/>
  <c r="R120" i="3"/>
  <c r="T120" i="3" s="1"/>
  <c r="S120" i="3"/>
  <c r="R121" i="3"/>
  <c r="T121" i="3" s="1"/>
  <c r="S121" i="3"/>
  <c r="R122" i="3"/>
  <c r="T122" i="3" s="1"/>
  <c r="S122" i="3"/>
  <c r="R123" i="3"/>
  <c r="T123" i="3" s="1"/>
  <c r="S123" i="3"/>
  <c r="R124" i="3"/>
  <c r="T124" i="3" s="1"/>
  <c r="S124" i="3"/>
  <c r="R125" i="3"/>
  <c r="T125" i="3" s="1"/>
  <c r="S125" i="3"/>
  <c r="R126" i="3"/>
  <c r="T126" i="3" s="1"/>
  <c r="S126" i="3"/>
  <c r="R127" i="3"/>
  <c r="T127" i="3" s="1"/>
  <c r="S127" i="3"/>
  <c r="R128" i="3"/>
  <c r="T128" i="3" s="1"/>
  <c r="S128" i="3"/>
  <c r="R129" i="3"/>
  <c r="T129" i="3" s="1"/>
  <c r="S129" i="3"/>
  <c r="R130" i="3"/>
  <c r="T130" i="3" s="1"/>
  <c r="S130" i="3"/>
  <c r="R131" i="3"/>
  <c r="T131" i="3" s="1"/>
  <c r="S131" i="3"/>
  <c r="R132" i="3"/>
  <c r="T132" i="3" s="1"/>
  <c r="S132" i="3"/>
  <c r="R133" i="3"/>
  <c r="T133" i="3" s="1"/>
  <c r="S133" i="3"/>
  <c r="R134" i="3"/>
  <c r="T134" i="3" s="1"/>
  <c r="S134" i="3"/>
  <c r="R135" i="3"/>
  <c r="T135" i="3" s="1"/>
  <c r="S135" i="3"/>
  <c r="R136" i="3"/>
  <c r="T136" i="3" s="1"/>
  <c r="S136" i="3"/>
  <c r="R137" i="3"/>
  <c r="T137" i="3" s="1"/>
  <c r="S137" i="3"/>
  <c r="R138" i="3"/>
  <c r="T138" i="3" s="1"/>
  <c r="S138" i="3"/>
  <c r="R139" i="3"/>
  <c r="T139" i="3" s="1"/>
  <c r="S139" i="3"/>
  <c r="R140" i="3"/>
  <c r="T140" i="3" s="1"/>
  <c r="S140" i="3"/>
  <c r="R141" i="3"/>
  <c r="T141" i="3" s="1"/>
  <c r="S141" i="3"/>
  <c r="R142" i="3"/>
  <c r="T142" i="3" s="1"/>
  <c r="S142" i="3"/>
  <c r="R143" i="3"/>
  <c r="T143" i="3" s="1"/>
  <c r="S143" i="3"/>
  <c r="R144" i="3"/>
  <c r="T144" i="3" s="1"/>
  <c r="S144" i="3"/>
  <c r="R145" i="3"/>
  <c r="T145" i="3" s="1"/>
  <c r="S145" i="3"/>
  <c r="R146" i="3"/>
  <c r="T146" i="3" s="1"/>
  <c r="S146" i="3"/>
  <c r="R147" i="3"/>
  <c r="T147" i="3" s="1"/>
  <c r="S147" i="3"/>
  <c r="R148" i="3"/>
  <c r="T148" i="3" s="1"/>
  <c r="S148" i="3"/>
  <c r="R149" i="3"/>
  <c r="T149" i="3" s="1"/>
  <c r="S149" i="3"/>
  <c r="R150" i="3"/>
  <c r="T150" i="3" s="1"/>
  <c r="S150" i="3"/>
  <c r="R151" i="3"/>
  <c r="T151" i="3" s="1"/>
  <c r="S151" i="3"/>
  <c r="R152" i="3"/>
  <c r="T152" i="3" s="1"/>
  <c r="S152" i="3"/>
  <c r="R153" i="3"/>
  <c r="T153" i="3" s="1"/>
  <c r="S153" i="3"/>
  <c r="R154" i="3"/>
  <c r="T154" i="3" s="1"/>
  <c r="S154" i="3"/>
  <c r="R155" i="3"/>
  <c r="T155" i="3" s="1"/>
  <c r="S155" i="3"/>
  <c r="R156" i="3"/>
  <c r="T156" i="3" s="1"/>
  <c r="S156" i="3"/>
  <c r="R157" i="3"/>
  <c r="T157" i="3" s="1"/>
  <c r="S157" i="3"/>
  <c r="R158" i="3"/>
  <c r="T158" i="3" s="1"/>
  <c r="S158" i="3"/>
  <c r="R159" i="3"/>
  <c r="T159" i="3" s="1"/>
  <c r="S159" i="3"/>
  <c r="R160" i="3"/>
  <c r="T160" i="3" s="1"/>
  <c r="S160" i="3"/>
  <c r="R161" i="3"/>
  <c r="T161" i="3" s="1"/>
  <c r="S161" i="3"/>
  <c r="R162" i="3"/>
  <c r="T162" i="3" s="1"/>
  <c r="S162" i="3"/>
  <c r="S163" i="3"/>
  <c r="S25" i="2"/>
  <c r="R26" i="2"/>
  <c r="T26" i="2" s="1"/>
  <c r="S26" i="2"/>
  <c r="S27" i="2"/>
  <c r="R28" i="2"/>
  <c r="T28" i="2" s="1"/>
  <c r="S28" i="2"/>
  <c r="R30" i="2"/>
  <c r="T30" i="2" s="1"/>
  <c r="S30" i="2"/>
  <c r="R32" i="2"/>
  <c r="S32" i="2"/>
  <c r="R34" i="2"/>
  <c r="T34" i="2" s="1"/>
  <c r="S34" i="2"/>
  <c r="S35" i="2"/>
  <c r="R36" i="2"/>
  <c r="T36" i="2" s="1"/>
  <c r="S36" i="2"/>
  <c r="S37" i="2"/>
  <c r="R38" i="2"/>
  <c r="T38" i="2" s="1"/>
  <c r="S38" i="2"/>
  <c r="R40" i="2"/>
  <c r="T40" i="2" s="1"/>
  <c r="S40" i="2"/>
  <c r="R42" i="2"/>
  <c r="T42" i="2" s="1"/>
  <c r="S42" i="2"/>
  <c r="R44" i="2"/>
  <c r="T44" i="2" s="1"/>
  <c r="S44" i="2"/>
  <c r="S45" i="2"/>
  <c r="R46" i="2"/>
  <c r="T46" i="2" s="1"/>
  <c r="S46" i="2"/>
  <c r="S47" i="2"/>
  <c r="R48" i="2"/>
  <c r="T48" i="2" s="1"/>
  <c r="S48" i="2"/>
  <c r="S49" i="2"/>
  <c r="R50" i="2"/>
  <c r="T50" i="2" s="1"/>
  <c r="S50" i="2"/>
  <c r="S51" i="2"/>
  <c r="R52" i="2"/>
  <c r="T52" i="2" s="1"/>
  <c r="S52" i="2"/>
  <c r="S53" i="2"/>
  <c r="R54" i="2"/>
  <c r="T54" i="2" s="1"/>
  <c r="S54" i="2"/>
  <c r="R56" i="2"/>
  <c r="T56" i="2" s="1"/>
  <c r="S56" i="2"/>
  <c r="R58" i="2"/>
  <c r="T58" i="2" s="1"/>
  <c r="S58" i="2"/>
  <c r="R60" i="2"/>
  <c r="T60" i="2" s="1"/>
  <c r="S60" i="2"/>
  <c r="S61" i="2"/>
  <c r="R62" i="2"/>
  <c r="T62" i="2" s="1"/>
  <c r="S62" i="2"/>
  <c r="S63" i="2"/>
  <c r="R64" i="2"/>
  <c r="T64" i="2" s="1"/>
  <c r="S64" i="2"/>
  <c r="S65" i="2"/>
  <c r="R66" i="2"/>
  <c r="T66" i="2" s="1"/>
  <c r="S66" i="2"/>
  <c r="S67" i="2"/>
  <c r="R68" i="2"/>
  <c r="T68" i="2" s="1"/>
  <c r="S68" i="2"/>
  <c r="S69" i="2"/>
  <c r="R70" i="2"/>
  <c r="T70" i="2" s="1"/>
  <c r="S70" i="2"/>
  <c r="S71" i="2"/>
  <c r="R72" i="2"/>
  <c r="T72" i="2" s="1"/>
  <c r="S72" i="2"/>
  <c r="S73" i="2"/>
  <c r="R74" i="2"/>
  <c r="S74" i="2"/>
  <c r="S75" i="2"/>
  <c r="R76" i="2"/>
  <c r="T76" i="2" s="1"/>
  <c r="S76" i="2"/>
  <c r="S77" i="2"/>
  <c r="R78" i="2"/>
  <c r="T78" i="2" s="1"/>
  <c r="S78" i="2"/>
  <c r="S79" i="2"/>
  <c r="R80" i="2"/>
  <c r="T80" i="2" s="1"/>
  <c r="S80" i="2"/>
  <c r="S81" i="2"/>
  <c r="R82" i="2"/>
  <c r="T82" i="2" s="1"/>
  <c r="S82" i="2"/>
  <c r="S83" i="2"/>
  <c r="R84" i="2"/>
  <c r="T84" i="2" s="1"/>
  <c r="S84" i="2"/>
  <c r="S85" i="2"/>
  <c r="R86" i="2"/>
  <c r="T86" i="2" s="1"/>
  <c r="S86" i="2"/>
  <c r="S87" i="2"/>
  <c r="R88" i="2"/>
  <c r="T88" i="2" s="1"/>
  <c r="S88" i="2"/>
  <c r="S89" i="2"/>
  <c r="R90" i="2"/>
  <c r="T90" i="2" s="1"/>
  <c r="S90" i="2"/>
  <c r="S91" i="2"/>
  <c r="R92" i="2"/>
  <c r="T92" i="2" s="1"/>
  <c r="S92" i="2"/>
  <c r="S93" i="2"/>
  <c r="R94" i="2"/>
  <c r="T94" i="2" s="1"/>
  <c r="S94" i="2"/>
  <c r="S95" i="2"/>
  <c r="R96" i="2"/>
  <c r="S96" i="2"/>
  <c r="S97" i="2"/>
  <c r="R98" i="2"/>
  <c r="T98" i="2" s="1"/>
  <c r="S98" i="2"/>
  <c r="S99" i="2"/>
  <c r="R100" i="2"/>
  <c r="T100" i="2" s="1"/>
  <c r="S100" i="2"/>
  <c r="S101" i="2"/>
  <c r="R102" i="2"/>
  <c r="S102" i="2"/>
  <c r="S103" i="2"/>
  <c r="R104" i="2"/>
  <c r="T104" i="2" s="1"/>
  <c r="S104" i="2"/>
  <c r="R105" i="2"/>
  <c r="T105" i="2" s="1"/>
  <c r="S105" i="2"/>
  <c r="R106" i="2"/>
  <c r="T106" i="2" s="1"/>
  <c r="S106" i="2"/>
  <c r="R107" i="2"/>
  <c r="S107" i="2"/>
  <c r="R108" i="2"/>
  <c r="T108" i="2" s="1"/>
  <c r="S108" i="2"/>
  <c r="R109" i="2"/>
  <c r="T109" i="2" s="1"/>
  <c r="S109" i="2"/>
  <c r="R110" i="2"/>
  <c r="T110" i="2" s="1"/>
  <c r="S110" i="2"/>
  <c r="R111" i="2"/>
  <c r="T111" i="2" s="1"/>
  <c r="S111" i="2"/>
  <c r="R112" i="2"/>
  <c r="T112" i="2" s="1"/>
  <c r="S112" i="2"/>
  <c r="R113" i="2"/>
  <c r="T113" i="2" s="1"/>
  <c r="S113" i="2"/>
  <c r="R114" i="2"/>
  <c r="T114" i="2" s="1"/>
  <c r="S114" i="2"/>
  <c r="R115" i="2"/>
  <c r="T115" i="2" s="1"/>
  <c r="S115" i="2"/>
  <c r="R116" i="2"/>
  <c r="T116" i="2" s="1"/>
  <c r="S116" i="2"/>
  <c r="R117" i="2"/>
  <c r="T117" i="2" s="1"/>
  <c r="S117" i="2"/>
  <c r="R118" i="2"/>
  <c r="T118" i="2" s="1"/>
  <c r="S118" i="2"/>
  <c r="R119" i="2"/>
  <c r="T119" i="2" s="1"/>
  <c r="S119" i="2"/>
  <c r="R120" i="2"/>
  <c r="T120" i="2" s="1"/>
  <c r="S120" i="2"/>
  <c r="R121" i="2"/>
  <c r="T121" i="2" s="1"/>
  <c r="S121" i="2"/>
  <c r="R122" i="2"/>
  <c r="T122" i="2" s="1"/>
  <c r="S122" i="2"/>
  <c r="R123" i="2"/>
  <c r="T123" i="2" s="1"/>
  <c r="S123" i="2"/>
  <c r="R124" i="2"/>
  <c r="T124" i="2" s="1"/>
  <c r="S124" i="2"/>
  <c r="R125" i="2"/>
  <c r="T125" i="2" s="1"/>
  <c r="S125" i="2"/>
  <c r="R126" i="2"/>
  <c r="T126" i="2" s="1"/>
  <c r="S126" i="2"/>
  <c r="R127" i="2"/>
  <c r="T127" i="2" s="1"/>
  <c r="S127" i="2"/>
  <c r="R128" i="2"/>
  <c r="T128" i="2" s="1"/>
  <c r="S128" i="2"/>
  <c r="R129" i="2"/>
  <c r="T129" i="2" s="1"/>
  <c r="S129" i="2"/>
  <c r="R130" i="2"/>
  <c r="T130" i="2" s="1"/>
  <c r="S130" i="2"/>
  <c r="R131" i="2"/>
  <c r="T131" i="2" s="1"/>
  <c r="S131" i="2"/>
  <c r="R132" i="2"/>
  <c r="T132" i="2" s="1"/>
  <c r="S132" i="2"/>
  <c r="R133" i="2"/>
  <c r="T133" i="2" s="1"/>
  <c r="S133" i="2"/>
  <c r="R134" i="2"/>
  <c r="T134" i="2" s="1"/>
  <c r="S134" i="2"/>
  <c r="R135" i="2"/>
  <c r="T135" i="2" s="1"/>
  <c r="S135" i="2"/>
  <c r="R136" i="2"/>
  <c r="T136" i="2" s="1"/>
  <c r="S136" i="2"/>
  <c r="R137" i="2"/>
  <c r="T137" i="2" s="1"/>
  <c r="S137" i="2"/>
  <c r="R138" i="2"/>
  <c r="T138" i="2" s="1"/>
  <c r="S138" i="2"/>
  <c r="R139" i="2"/>
  <c r="T139" i="2" s="1"/>
  <c r="S139" i="2"/>
  <c r="R140" i="2"/>
  <c r="T140" i="2" s="1"/>
  <c r="S140" i="2"/>
  <c r="R141" i="2"/>
  <c r="T141" i="2" s="1"/>
  <c r="S141" i="2"/>
  <c r="R142" i="2"/>
  <c r="T142" i="2" s="1"/>
  <c r="S142" i="2"/>
  <c r="R143" i="2"/>
  <c r="T143" i="2" s="1"/>
  <c r="S143" i="2"/>
  <c r="R144" i="2"/>
  <c r="T144" i="2" s="1"/>
  <c r="S144" i="2"/>
  <c r="R145" i="2"/>
  <c r="T145" i="2" s="1"/>
  <c r="S145" i="2"/>
  <c r="R146" i="2"/>
  <c r="T146" i="2" s="1"/>
  <c r="S146" i="2"/>
  <c r="R147" i="2"/>
  <c r="T147" i="2" s="1"/>
  <c r="S147" i="2"/>
  <c r="R148" i="2"/>
  <c r="T148" i="2" s="1"/>
  <c r="S148" i="2"/>
  <c r="R149" i="2"/>
  <c r="T149" i="2" s="1"/>
  <c r="S149" i="2"/>
  <c r="R150" i="2"/>
  <c r="T150" i="2" s="1"/>
  <c r="S150" i="2"/>
  <c r="R151" i="2"/>
  <c r="T151" i="2" s="1"/>
  <c r="S151" i="2"/>
  <c r="R152" i="2"/>
  <c r="T152" i="2" s="1"/>
  <c r="S152" i="2"/>
  <c r="R153" i="2"/>
  <c r="S153" i="2"/>
  <c r="R154" i="2"/>
  <c r="T154" i="2" s="1"/>
  <c r="S154" i="2"/>
  <c r="R155" i="2"/>
  <c r="T155" i="2" s="1"/>
  <c r="S155" i="2"/>
  <c r="R156" i="2"/>
  <c r="S156" i="2"/>
  <c r="R157" i="2"/>
  <c r="T157" i="2" s="1"/>
  <c r="S157" i="2"/>
  <c r="R158" i="2"/>
  <c r="T158" i="2" s="1"/>
  <c r="S158" i="2"/>
  <c r="R159" i="2"/>
  <c r="T159" i="2" s="1"/>
  <c r="S159" i="2"/>
  <c r="R160" i="2"/>
  <c r="T160" i="2" s="1"/>
  <c r="S160" i="2"/>
  <c r="R161" i="2"/>
  <c r="S161" i="2"/>
  <c r="S162" i="2"/>
  <c r="R163" i="2"/>
  <c r="T163" i="2" s="1"/>
  <c r="S163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Q89" i="2"/>
  <c r="Q90" i="2"/>
  <c r="Q91" i="2"/>
  <c r="Q92" i="2"/>
  <c r="Q93" i="2"/>
  <c r="Q94" i="2"/>
  <c r="Q95" i="2"/>
  <c r="Q96" i="2"/>
  <c r="Q97" i="2"/>
  <c r="Q98" i="2"/>
  <c r="Q99" i="2"/>
  <c r="Q100" i="2"/>
  <c r="Q101" i="2"/>
  <c r="Q102" i="2"/>
  <c r="Q103" i="2"/>
  <c r="Q104" i="2"/>
  <c r="Q105" i="2"/>
  <c r="Q106" i="2"/>
  <c r="Q107" i="2"/>
  <c r="Q108" i="2"/>
  <c r="Q109" i="2"/>
  <c r="Q110" i="2"/>
  <c r="Q111" i="2"/>
  <c r="Q112" i="2"/>
  <c r="Q113" i="2"/>
  <c r="Q114" i="2"/>
  <c r="Q115" i="2"/>
  <c r="Q116" i="2"/>
  <c r="Q117" i="2"/>
  <c r="Q118" i="2"/>
  <c r="Q119" i="2"/>
  <c r="Q120" i="2"/>
  <c r="Q121" i="2"/>
  <c r="Q122" i="2"/>
  <c r="Q123" i="2"/>
  <c r="Q124" i="2"/>
  <c r="Q125" i="2"/>
  <c r="Q126" i="2"/>
  <c r="Q127" i="2"/>
  <c r="Q128" i="2"/>
  <c r="Q129" i="2"/>
  <c r="Q130" i="2"/>
  <c r="Q131" i="2"/>
  <c r="Q132" i="2"/>
  <c r="Q133" i="2"/>
  <c r="Q134" i="2"/>
  <c r="Q135" i="2"/>
  <c r="Q136" i="2"/>
  <c r="Q137" i="2"/>
  <c r="Q138" i="2"/>
  <c r="Q139" i="2"/>
  <c r="Q140" i="2"/>
  <c r="Q141" i="2"/>
  <c r="Q142" i="2"/>
  <c r="Q143" i="2"/>
  <c r="Q144" i="2"/>
  <c r="Q145" i="2"/>
  <c r="Q146" i="2"/>
  <c r="Q147" i="2"/>
  <c r="Q148" i="2"/>
  <c r="Q149" i="2"/>
  <c r="Q150" i="2"/>
  <c r="Q151" i="2"/>
  <c r="Q152" i="2"/>
  <c r="Q153" i="2"/>
  <c r="Q154" i="2"/>
  <c r="Q155" i="2"/>
  <c r="Q156" i="2"/>
  <c r="Q157" i="2"/>
  <c r="Q158" i="2"/>
  <c r="Q159" i="2"/>
  <c r="Q160" i="2"/>
  <c r="Q161" i="2"/>
  <c r="Q162" i="2"/>
  <c r="Q163" i="2"/>
  <c r="M20" i="2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24" i="3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3" i="2"/>
  <c r="M58" i="3"/>
  <c r="M59" i="3"/>
  <c r="M60" i="3"/>
  <c r="M61" i="3"/>
  <c r="M62" i="3"/>
  <c r="M63" i="3"/>
  <c r="J51" i="3" l="1"/>
  <c r="J96" i="3"/>
  <c r="J75" i="3"/>
  <c r="T98" i="3"/>
  <c r="J98" i="3" s="1"/>
  <c r="T39" i="3"/>
  <c r="J39" i="3" s="1"/>
  <c r="J49" i="3"/>
  <c r="J35" i="3"/>
  <c r="T97" i="3"/>
  <c r="J97" i="3" s="1"/>
  <c r="T77" i="3"/>
  <c r="J77" i="3" s="1"/>
  <c r="J79" i="3"/>
  <c r="J93" i="3"/>
  <c r="J53" i="3"/>
  <c r="J78" i="3"/>
  <c r="J88" i="3"/>
  <c r="J99" i="3"/>
  <c r="J73" i="3"/>
  <c r="T67" i="3"/>
  <c r="J67" i="3" s="1"/>
  <c r="J69" i="3"/>
  <c r="J89" i="3"/>
  <c r="J108" i="3"/>
  <c r="J94" i="3"/>
  <c r="J33" i="3"/>
  <c r="T92" i="3"/>
  <c r="J92" i="3" s="1"/>
  <c r="T109" i="3"/>
  <c r="J109" i="3" s="1"/>
  <c r="T89" i="3"/>
  <c r="J87" i="3"/>
  <c r="J104" i="3"/>
  <c r="J84" i="3"/>
  <c r="J59" i="3"/>
  <c r="J103" i="3"/>
  <c r="J83" i="3"/>
  <c r="J45" i="3"/>
  <c r="J71" i="3"/>
  <c r="J31" i="3"/>
  <c r="J61" i="3"/>
  <c r="J65" i="3"/>
  <c r="J86" i="3"/>
  <c r="J47" i="3"/>
  <c r="J57" i="3"/>
  <c r="J43" i="3"/>
  <c r="J101" i="3"/>
  <c r="J91" i="3"/>
  <c r="J81" i="3"/>
  <c r="J55" i="3"/>
  <c r="J106" i="3"/>
  <c r="J102" i="3"/>
  <c r="J82" i="3"/>
  <c r="J100" i="3"/>
  <c r="J90" i="3"/>
  <c r="J80" i="3"/>
  <c r="J41" i="3"/>
  <c r="U142" i="3"/>
  <c r="U39" i="3"/>
  <c r="U111" i="2"/>
  <c r="U125" i="2"/>
  <c r="U94" i="3"/>
  <c r="U112" i="3"/>
  <c r="U138" i="2"/>
  <c r="U90" i="3"/>
  <c r="U148" i="3"/>
  <c r="U140" i="3"/>
  <c r="U129" i="2"/>
  <c r="U105" i="3"/>
  <c r="U118" i="2"/>
  <c r="U89" i="3"/>
  <c r="U134" i="3"/>
  <c r="U115" i="3"/>
  <c r="U64" i="2"/>
  <c r="U44" i="2"/>
  <c r="U87" i="3"/>
  <c r="U43" i="3"/>
  <c r="U83" i="3"/>
  <c r="U107" i="2"/>
  <c r="U144" i="2"/>
  <c r="U90" i="2"/>
  <c r="U82" i="2"/>
  <c r="U53" i="3"/>
  <c r="T107" i="2"/>
  <c r="J107" i="2" s="1"/>
  <c r="U34" i="2"/>
  <c r="U153" i="3"/>
  <c r="U123" i="2"/>
  <c r="U150" i="2"/>
  <c r="U140" i="2"/>
  <c r="U153" i="2"/>
  <c r="U159" i="3"/>
  <c r="U55" i="3"/>
  <c r="U29" i="3"/>
  <c r="U157" i="3"/>
  <c r="U125" i="3"/>
  <c r="U109" i="3"/>
  <c r="U93" i="3"/>
  <c r="U96" i="2"/>
  <c r="U78" i="2"/>
  <c r="U107" i="3"/>
  <c r="U33" i="3"/>
  <c r="U57" i="3"/>
  <c r="U137" i="2"/>
  <c r="U48" i="2"/>
  <c r="U144" i="3"/>
  <c r="U120" i="3"/>
  <c r="U95" i="3"/>
  <c r="U124" i="3"/>
  <c r="J107" i="3"/>
  <c r="U84" i="3"/>
  <c r="U45" i="3"/>
  <c r="U114" i="3"/>
  <c r="J159" i="3"/>
  <c r="U128" i="3"/>
  <c r="J95" i="3"/>
  <c r="U162" i="3"/>
  <c r="U154" i="3"/>
  <c r="U132" i="3"/>
  <c r="U118" i="3"/>
  <c r="U37" i="3"/>
  <c r="J29" i="3"/>
  <c r="U143" i="3"/>
  <c r="U155" i="3"/>
  <c r="U133" i="3"/>
  <c r="U103" i="3"/>
  <c r="U85" i="3"/>
  <c r="U63" i="3"/>
  <c r="U139" i="3"/>
  <c r="U102" i="3"/>
  <c r="U122" i="3"/>
  <c r="U79" i="3"/>
  <c r="U35" i="3"/>
  <c r="U78" i="3"/>
  <c r="J143" i="3"/>
  <c r="J85" i="3"/>
  <c r="J63" i="3"/>
  <c r="U135" i="3"/>
  <c r="U129" i="3"/>
  <c r="U123" i="3"/>
  <c r="U117" i="3"/>
  <c r="U98" i="3"/>
  <c r="U92" i="3"/>
  <c r="U104" i="3"/>
  <c r="U73" i="3"/>
  <c r="U67" i="3"/>
  <c r="U152" i="3"/>
  <c r="U145" i="3"/>
  <c r="U65" i="3"/>
  <c r="U59" i="3"/>
  <c r="U150" i="3"/>
  <c r="U113" i="3"/>
  <c r="U137" i="3"/>
  <c r="U100" i="3"/>
  <c r="U82" i="3"/>
  <c r="U75" i="3"/>
  <c r="U160" i="3"/>
  <c r="U149" i="3"/>
  <c r="U138" i="3"/>
  <c r="U127" i="3"/>
  <c r="U110" i="3"/>
  <c r="U99" i="3"/>
  <c r="U88" i="3"/>
  <c r="U77" i="3"/>
  <c r="U49" i="3"/>
  <c r="U27" i="3"/>
  <c r="U158" i="3"/>
  <c r="U147" i="3"/>
  <c r="U130" i="3"/>
  <c r="U108" i="3"/>
  <c r="U97" i="3"/>
  <c r="U69" i="3"/>
  <c r="U47" i="3"/>
  <c r="U119" i="3"/>
  <c r="U80" i="3"/>
  <c r="U161" i="3"/>
  <c r="U156" i="3"/>
  <c r="U151" i="3"/>
  <c r="U146" i="3"/>
  <c r="U141" i="3"/>
  <c r="U136" i="3"/>
  <c r="U131" i="3"/>
  <c r="U126" i="3"/>
  <c r="U121" i="3"/>
  <c r="U116" i="3"/>
  <c r="U111" i="3"/>
  <c r="U106" i="3"/>
  <c r="U101" i="3"/>
  <c r="U96" i="3"/>
  <c r="U91" i="3"/>
  <c r="U86" i="3"/>
  <c r="U81" i="3"/>
  <c r="U71" i="3"/>
  <c r="U61" i="3"/>
  <c r="U51" i="3"/>
  <c r="U41" i="3"/>
  <c r="U31" i="3"/>
  <c r="U113" i="2"/>
  <c r="U106" i="2"/>
  <c r="U54" i="2"/>
  <c r="U38" i="2"/>
  <c r="U145" i="2"/>
  <c r="T96" i="2"/>
  <c r="J96" i="2" s="1"/>
  <c r="U76" i="2"/>
  <c r="U155" i="2"/>
  <c r="U139" i="2"/>
  <c r="U117" i="2"/>
  <c r="U124" i="2"/>
  <c r="U28" i="2"/>
  <c r="T153" i="2"/>
  <c r="J153" i="2" s="1"/>
  <c r="U159" i="2"/>
  <c r="U112" i="2"/>
  <c r="U32" i="2"/>
  <c r="U127" i="2"/>
  <c r="U149" i="2"/>
  <c r="U58" i="2"/>
  <c r="U134" i="2"/>
  <c r="U36" i="2"/>
  <c r="U161" i="2"/>
  <c r="U74" i="2"/>
  <c r="U163" i="2"/>
  <c r="U86" i="2"/>
  <c r="U40" i="2"/>
  <c r="U158" i="2"/>
  <c r="U133" i="2"/>
  <c r="U62" i="2"/>
  <c r="U157" i="2"/>
  <c r="U156" i="2"/>
  <c r="U104" i="2"/>
  <c r="U143" i="2"/>
  <c r="U136" i="2"/>
  <c r="U102" i="2"/>
  <c r="T161" i="2"/>
  <c r="J161" i="2" s="1"/>
  <c r="U116" i="2"/>
  <c r="U154" i="2"/>
  <c r="U148" i="2"/>
  <c r="U141" i="2"/>
  <c r="U122" i="2"/>
  <c r="T74" i="2"/>
  <c r="T32" i="2"/>
  <c r="U160" i="2"/>
  <c r="U128" i="2"/>
  <c r="U115" i="2"/>
  <c r="T102" i="2"/>
  <c r="J102" i="2" s="1"/>
  <c r="U100" i="2"/>
  <c r="U70" i="2"/>
  <c r="U94" i="2"/>
  <c r="U52" i="2"/>
  <c r="U92" i="2"/>
  <c r="U80" i="2"/>
  <c r="U50" i="2"/>
  <c r="U152" i="2"/>
  <c r="U98" i="2"/>
  <c r="U56" i="2"/>
  <c r="U131" i="2"/>
  <c r="U108" i="2"/>
  <c r="T156" i="2"/>
  <c r="U132" i="2"/>
  <c r="U120" i="2"/>
  <c r="U66" i="2"/>
  <c r="U119" i="2"/>
  <c r="U60" i="2"/>
  <c r="U142" i="2"/>
  <c r="U121" i="2"/>
  <c r="U84" i="2"/>
  <c r="U42" i="2"/>
  <c r="U147" i="2"/>
  <c r="U126" i="2"/>
  <c r="U105" i="2"/>
  <c r="U68" i="2"/>
  <c r="U26" i="2"/>
  <c r="U110" i="2"/>
  <c r="U146" i="2"/>
  <c r="U109" i="2"/>
  <c r="U88" i="2"/>
  <c r="U46" i="2"/>
  <c r="U151" i="2"/>
  <c r="U130" i="2"/>
  <c r="U114" i="2"/>
  <c r="U72" i="2"/>
  <c r="U30" i="2"/>
  <c r="U135" i="2"/>
  <c r="J150" i="2"/>
  <c r="J105" i="2"/>
  <c r="J110" i="2"/>
  <c r="J148" i="2"/>
  <c r="J127" i="2"/>
  <c r="J142" i="2"/>
  <c r="J78" i="2"/>
  <c r="J155" i="2"/>
  <c r="J147" i="2"/>
  <c r="J94" i="2"/>
  <c r="J136" i="2"/>
  <c r="J109" i="2"/>
  <c r="J141" i="2"/>
  <c r="J157" i="2"/>
  <c r="J138" i="2"/>
  <c r="J120" i="2"/>
  <c r="J111" i="2"/>
  <c r="J131" i="2"/>
  <c r="J100" i="2"/>
  <c r="J144" i="2"/>
  <c r="J128" i="2"/>
  <c r="J121" i="2"/>
  <c r="J159" i="2"/>
  <c r="J146" i="2"/>
  <c r="J133" i="2"/>
  <c r="J152" i="2"/>
  <c r="J139" i="2"/>
  <c r="J86" i="2"/>
  <c r="J112" i="2"/>
  <c r="J92" i="2"/>
  <c r="J151" i="2"/>
  <c r="J106" i="2"/>
  <c r="J117" i="2"/>
  <c r="J122" i="2"/>
  <c r="J116" i="2"/>
  <c r="J132" i="2"/>
  <c r="J82" i="2"/>
  <c r="J126" i="2"/>
  <c r="J137" i="2"/>
  <c r="J118" i="2"/>
  <c r="J125" i="2"/>
  <c r="J134" i="2"/>
  <c r="J145" i="2"/>
  <c r="J129" i="2"/>
  <c r="J135" i="2"/>
  <c r="J149" i="2"/>
  <c r="J154" i="2"/>
  <c r="J114" i="2"/>
  <c r="J115" i="2"/>
  <c r="J130" i="2"/>
  <c r="J113" i="2"/>
  <c r="J123" i="2"/>
  <c r="J143" i="2"/>
  <c r="J140" i="2"/>
  <c r="J124" i="2"/>
  <c r="J158" i="2"/>
  <c r="J90" i="2"/>
  <c r="J119" i="2"/>
  <c r="J80" i="2"/>
  <c r="J98" i="2"/>
  <c r="J104" i="2"/>
  <c r="J88" i="2"/>
  <c r="J84" i="2"/>
  <c r="J108" i="2"/>
  <c r="J111" i="3"/>
  <c r="J130" i="3"/>
  <c r="J162" i="3"/>
  <c r="J146" i="3"/>
  <c r="J114" i="3"/>
  <c r="J127" i="3"/>
  <c r="J151" i="3"/>
  <c r="J135" i="3"/>
  <c r="J119" i="3"/>
  <c r="J154" i="3"/>
  <c r="J138" i="3"/>
  <c r="J122" i="3"/>
  <c r="J155" i="3"/>
  <c r="J147" i="3"/>
  <c r="J139" i="3"/>
  <c r="J131" i="3"/>
  <c r="J123" i="3"/>
  <c r="J115" i="3"/>
  <c r="J158" i="3"/>
  <c r="J150" i="3"/>
  <c r="J142" i="3"/>
  <c r="J134" i="3"/>
  <c r="J126" i="3"/>
  <c r="J118" i="3"/>
  <c r="J110" i="3"/>
  <c r="J128" i="3"/>
  <c r="J124" i="3"/>
  <c r="J120" i="3"/>
  <c r="J116" i="3"/>
  <c r="J112" i="3"/>
  <c r="J156" i="3"/>
  <c r="J152" i="3"/>
  <c r="J148" i="3"/>
  <c r="J161" i="3"/>
  <c r="J157" i="3"/>
  <c r="J153" i="3"/>
  <c r="J149" i="3"/>
  <c r="J145" i="3"/>
  <c r="J141" i="3"/>
  <c r="J137" i="3"/>
  <c r="J133" i="3"/>
  <c r="J129" i="3"/>
  <c r="J125" i="3"/>
  <c r="J121" i="3"/>
  <c r="J117" i="3"/>
  <c r="J113" i="3"/>
  <c r="H25" i="2" l="1"/>
  <c r="H26" i="2"/>
  <c r="M58" i="2"/>
  <c r="M59" i="2"/>
  <c r="M60" i="2"/>
  <c r="M61" i="2"/>
  <c r="M62" i="2"/>
  <c r="M63" i="2"/>
  <c r="M64" i="2"/>
  <c r="F12" i="1"/>
  <c r="F11" i="1"/>
  <c r="H27" i="2" l="1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157" i="2"/>
  <c r="H158" i="2"/>
  <c r="H159" i="2"/>
  <c r="H160" i="2"/>
  <c r="H161" i="2"/>
  <c r="H162" i="2"/>
  <c r="H163" i="2"/>
  <c r="H24" i="2"/>
  <c r="R164" i="3" l="1"/>
  <c r="S164" i="3"/>
  <c r="N2" i="3" l="1"/>
  <c r="N2" i="2"/>
  <c r="H160" i="3"/>
  <c r="H161" i="3"/>
  <c r="H162" i="3"/>
  <c r="H163" i="3"/>
  <c r="D21" i="1" l="1"/>
  <c r="F21" i="1" s="1"/>
  <c r="E11" i="4"/>
  <c r="F11" i="3"/>
  <c r="O2" i="3" l="1"/>
  <c r="A5" i="3"/>
  <c r="B17" i="3"/>
  <c r="J17" i="3" s="1"/>
  <c r="B16" i="3"/>
  <c r="J16" i="3" s="1"/>
  <c r="N59" i="3" l="1"/>
  <c r="N61" i="3"/>
  <c r="N63" i="3"/>
  <c r="N60" i="3"/>
  <c r="N62" i="3"/>
  <c r="N58" i="3"/>
  <c r="D15" i="1"/>
  <c r="B17" i="2"/>
  <c r="J17" i="2" s="1"/>
  <c r="B16" i="2"/>
  <c r="J16" i="2" s="1"/>
  <c r="B12" i="3"/>
  <c r="B13" i="3"/>
  <c r="B11" i="3"/>
  <c r="B12" i="2" l="1"/>
  <c r="B13" i="2"/>
  <c r="B11" i="2"/>
  <c r="H29" i="1" l="1"/>
  <c r="H30" i="1" l="1"/>
  <c r="F20" i="3" l="1"/>
  <c r="E20" i="3"/>
  <c r="F20" i="2"/>
  <c r="E20" i="2"/>
  <c r="F19" i="3"/>
  <c r="E19" i="3"/>
  <c r="F18" i="3"/>
  <c r="E18" i="3"/>
  <c r="B18" i="3" s="1"/>
  <c r="J18" i="3" s="1"/>
  <c r="F17" i="3"/>
  <c r="E17" i="3"/>
  <c r="F16" i="3"/>
  <c r="E16" i="3"/>
  <c r="F18" i="2"/>
  <c r="E18" i="2"/>
  <c r="B18" i="2" s="1"/>
  <c r="J18" i="2" s="1"/>
  <c r="H32" i="1"/>
  <c r="E19" i="1" s="1"/>
  <c r="E17" i="2"/>
  <c r="E19" i="2"/>
  <c r="B19" i="2" s="1"/>
  <c r="J19" i="2" s="1"/>
  <c r="F16" i="2"/>
  <c r="E16" i="2"/>
  <c r="F19" i="2"/>
  <c r="F17" i="2"/>
  <c r="H31" i="1"/>
  <c r="L34" i="1"/>
  <c r="L38" i="1"/>
  <c r="L42" i="1"/>
  <c r="L46" i="1"/>
  <c r="L50" i="1"/>
  <c r="L54" i="1"/>
  <c r="L58" i="1"/>
  <c r="L62" i="1"/>
  <c r="L66" i="1"/>
  <c r="L70" i="1"/>
  <c r="L74" i="1"/>
  <c r="L78" i="1"/>
  <c r="L82" i="1"/>
  <c r="L86" i="1"/>
  <c r="L90" i="1"/>
  <c r="L94" i="1"/>
  <c r="L98" i="1"/>
  <c r="L102" i="1"/>
  <c r="L106" i="1"/>
  <c r="L110" i="1"/>
  <c r="J33" i="1"/>
  <c r="O25" i="2" s="1"/>
  <c r="J37" i="1"/>
  <c r="O27" i="2" s="1"/>
  <c r="S31" i="2" s="1"/>
  <c r="J41" i="1"/>
  <c r="O29" i="2" s="1"/>
  <c r="J45" i="1"/>
  <c r="O31" i="2" s="1"/>
  <c r="S39" i="2" s="1"/>
  <c r="J49" i="1"/>
  <c r="O33" i="2" s="1"/>
  <c r="S43" i="2" s="1"/>
  <c r="J53" i="1"/>
  <c r="O35" i="2" s="1"/>
  <c r="J57" i="1"/>
  <c r="O37" i="2" s="1"/>
  <c r="J61" i="1"/>
  <c r="O39" i="2" s="1"/>
  <c r="S55" i="2" s="1"/>
  <c r="J65" i="1"/>
  <c r="O41" i="2" s="1"/>
  <c r="S59" i="2" s="1"/>
  <c r="J69" i="1"/>
  <c r="O43" i="2" s="1"/>
  <c r="J73" i="1"/>
  <c r="O45" i="2" s="1"/>
  <c r="J77" i="1"/>
  <c r="O47" i="2" s="1"/>
  <c r="J81" i="1"/>
  <c r="O49" i="2" s="1"/>
  <c r="J85" i="1"/>
  <c r="O51" i="2" s="1"/>
  <c r="J89" i="1"/>
  <c r="O53" i="2" s="1"/>
  <c r="J93" i="1"/>
  <c r="O55" i="2" s="1"/>
  <c r="J97" i="1"/>
  <c r="O57" i="2" s="1"/>
  <c r="J101" i="1"/>
  <c r="O59" i="2" s="1"/>
  <c r="J105" i="1"/>
  <c r="O61" i="2" s="1"/>
  <c r="J109" i="1"/>
  <c r="O63" i="2" s="1"/>
  <c r="K111" i="1"/>
  <c r="P64" i="2" s="1"/>
  <c r="K34" i="1"/>
  <c r="P26" i="3" s="1"/>
  <c r="K38" i="1"/>
  <c r="P28" i="3" s="1"/>
  <c r="K42" i="1"/>
  <c r="P30" i="3" s="1"/>
  <c r="K46" i="1"/>
  <c r="P32" i="3" s="1"/>
  <c r="K50" i="1"/>
  <c r="P34" i="3" s="1"/>
  <c r="K54" i="1"/>
  <c r="P36" i="3" s="1"/>
  <c r="K58" i="1"/>
  <c r="P38" i="3" s="1"/>
  <c r="K62" i="1"/>
  <c r="P40" i="3" s="1"/>
  <c r="K66" i="1"/>
  <c r="P42" i="3" s="1"/>
  <c r="K70" i="1"/>
  <c r="P44" i="3" s="1"/>
  <c r="K74" i="1"/>
  <c r="P46" i="3" s="1"/>
  <c r="K78" i="1"/>
  <c r="P48" i="3" s="1"/>
  <c r="K82" i="1"/>
  <c r="P50" i="3" s="1"/>
  <c r="K86" i="1"/>
  <c r="P52" i="3" s="1"/>
  <c r="K90" i="1"/>
  <c r="P54" i="3" s="1"/>
  <c r="K94" i="1"/>
  <c r="P56" i="3" s="1"/>
  <c r="K98" i="1"/>
  <c r="P58" i="3" s="1"/>
  <c r="K102" i="1"/>
  <c r="P60" i="3" s="1"/>
  <c r="K106" i="1"/>
  <c r="P62" i="3" s="1"/>
  <c r="K110" i="1"/>
  <c r="L31" i="1"/>
  <c r="L35" i="1"/>
  <c r="F24" i="2" s="1"/>
  <c r="L39" i="1"/>
  <c r="F26" i="2" s="1"/>
  <c r="L43" i="1"/>
  <c r="L47" i="1"/>
  <c r="L51" i="1"/>
  <c r="L55" i="1"/>
  <c r="L59" i="1"/>
  <c r="L63" i="1"/>
  <c r="L67" i="1"/>
  <c r="L71" i="1"/>
  <c r="L75" i="1"/>
  <c r="L79" i="1"/>
  <c r="L83" i="1"/>
  <c r="L87" i="1"/>
  <c r="L91" i="1"/>
  <c r="L95" i="1"/>
  <c r="L99" i="1"/>
  <c r="L103" i="1"/>
  <c r="L107" i="1"/>
  <c r="L111" i="1"/>
  <c r="J34" i="1"/>
  <c r="O26" i="3" s="1"/>
  <c r="J38" i="1"/>
  <c r="O28" i="3" s="1"/>
  <c r="J42" i="1"/>
  <c r="O30" i="3" s="1"/>
  <c r="J46" i="1"/>
  <c r="O32" i="3" s="1"/>
  <c r="J50" i="1"/>
  <c r="O34" i="3" s="1"/>
  <c r="J54" i="1"/>
  <c r="O36" i="3" s="1"/>
  <c r="J58" i="1"/>
  <c r="O38" i="3" s="1"/>
  <c r="J62" i="1"/>
  <c r="O40" i="3" s="1"/>
  <c r="J66" i="1"/>
  <c r="O42" i="3" s="1"/>
  <c r="J70" i="1"/>
  <c r="O44" i="3" s="1"/>
  <c r="J74" i="1"/>
  <c r="O46" i="3" s="1"/>
  <c r="J78" i="1"/>
  <c r="O48" i="3" s="1"/>
  <c r="J82" i="1"/>
  <c r="O50" i="3" s="1"/>
  <c r="J86" i="1"/>
  <c r="O52" i="3" s="1"/>
  <c r="Q52" i="3" s="1"/>
  <c r="J90" i="1"/>
  <c r="O54" i="3" s="1"/>
  <c r="Q54" i="3" s="1"/>
  <c r="J94" i="1"/>
  <c r="O56" i="3" s="1"/>
  <c r="Q56" i="3" s="1"/>
  <c r="J98" i="1"/>
  <c r="O58" i="3" s="1"/>
  <c r="Q58" i="3" s="1"/>
  <c r="J102" i="1"/>
  <c r="O60" i="3" s="1"/>
  <c r="Q60" i="3" s="1"/>
  <c r="J106" i="1"/>
  <c r="O62" i="3" s="1"/>
  <c r="Q62" i="3" s="1"/>
  <c r="J110" i="1"/>
  <c r="K31" i="1"/>
  <c r="P24" i="2" s="1"/>
  <c r="K35" i="1"/>
  <c r="P26" i="2" s="1"/>
  <c r="K39" i="1"/>
  <c r="P28" i="2" s="1"/>
  <c r="J34" i="2" s="1"/>
  <c r="K43" i="1"/>
  <c r="P30" i="2" s="1"/>
  <c r="J38" i="2" s="1"/>
  <c r="K47" i="1"/>
  <c r="P32" i="2" s="1"/>
  <c r="J42" i="2" s="1"/>
  <c r="K51" i="1"/>
  <c r="P34" i="2" s="1"/>
  <c r="J46" i="2" s="1"/>
  <c r="K55" i="1"/>
  <c r="P36" i="2" s="1"/>
  <c r="J50" i="2" s="1"/>
  <c r="K59" i="1"/>
  <c r="P38" i="2" s="1"/>
  <c r="J54" i="2" s="1"/>
  <c r="K63" i="1"/>
  <c r="P40" i="2" s="1"/>
  <c r="J58" i="2" s="1"/>
  <c r="K67" i="1"/>
  <c r="P42" i="2" s="1"/>
  <c r="J62" i="2" s="1"/>
  <c r="K71" i="1"/>
  <c r="P44" i="2" s="1"/>
  <c r="J66" i="2" s="1"/>
  <c r="K75" i="1"/>
  <c r="P46" i="2" s="1"/>
  <c r="J70" i="2" s="1"/>
  <c r="K79" i="1"/>
  <c r="P48" i="2" s="1"/>
  <c r="J74" i="2" s="1"/>
  <c r="K83" i="1"/>
  <c r="P50" i="2" s="1"/>
  <c r="K87" i="1"/>
  <c r="P52" i="2" s="1"/>
  <c r="K91" i="1"/>
  <c r="P54" i="2" s="1"/>
  <c r="K95" i="1"/>
  <c r="P56" i="2" s="1"/>
  <c r="K99" i="1"/>
  <c r="P58" i="2" s="1"/>
  <c r="K103" i="1"/>
  <c r="P60" i="2" s="1"/>
  <c r="K107" i="1"/>
  <c r="P62" i="2" s="1"/>
  <c r="K30" i="1"/>
  <c r="P24" i="3" s="1"/>
  <c r="L37" i="1"/>
  <c r="L45" i="1"/>
  <c r="L53" i="1"/>
  <c r="L61" i="1"/>
  <c r="L69" i="1"/>
  <c r="L77" i="1"/>
  <c r="L85" i="1"/>
  <c r="L93" i="1"/>
  <c r="L101" i="1"/>
  <c r="L109" i="1"/>
  <c r="J35" i="1"/>
  <c r="O26" i="2" s="1"/>
  <c r="S29" i="2" s="1"/>
  <c r="J43" i="1"/>
  <c r="O30" i="2" s="1"/>
  <c r="J51" i="1"/>
  <c r="O34" i="2" s="1"/>
  <c r="J59" i="1"/>
  <c r="O38" i="2" s="1"/>
  <c r="J67" i="1"/>
  <c r="O42" i="2" s="1"/>
  <c r="J75" i="1"/>
  <c r="O46" i="2" s="1"/>
  <c r="J83" i="1"/>
  <c r="O50" i="2" s="1"/>
  <c r="J91" i="1"/>
  <c r="O54" i="2" s="1"/>
  <c r="J99" i="1"/>
  <c r="O58" i="2" s="1"/>
  <c r="J107" i="1"/>
  <c r="O62" i="2" s="1"/>
  <c r="K32" i="1"/>
  <c r="P25" i="3" s="1"/>
  <c r="K40" i="1"/>
  <c r="P29" i="3" s="1"/>
  <c r="K48" i="1"/>
  <c r="P33" i="3" s="1"/>
  <c r="K56" i="1"/>
  <c r="P37" i="3" s="1"/>
  <c r="K64" i="1"/>
  <c r="P41" i="3" s="1"/>
  <c r="K72" i="1"/>
  <c r="P45" i="3" s="1"/>
  <c r="K80" i="1"/>
  <c r="P49" i="3" s="1"/>
  <c r="K88" i="1"/>
  <c r="P53" i="3" s="1"/>
  <c r="K96" i="1"/>
  <c r="P57" i="3" s="1"/>
  <c r="K104" i="1"/>
  <c r="P61" i="3" s="1"/>
  <c r="L32" i="1"/>
  <c r="L40" i="1"/>
  <c r="F23" i="3" s="1"/>
  <c r="L48" i="1"/>
  <c r="L56" i="1"/>
  <c r="L64" i="1"/>
  <c r="L72" i="1"/>
  <c r="L80" i="1"/>
  <c r="L88" i="1"/>
  <c r="L96" i="1"/>
  <c r="L104" i="1"/>
  <c r="L30" i="1"/>
  <c r="J36" i="1"/>
  <c r="O27" i="3" s="1"/>
  <c r="J44" i="1"/>
  <c r="O31" i="3" s="1"/>
  <c r="J52" i="1"/>
  <c r="O35" i="3" s="1"/>
  <c r="J60" i="1"/>
  <c r="O39" i="3" s="1"/>
  <c r="J68" i="1"/>
  <c r="O43" i="3" s="1"/>
  <c r="J76" i="1"/>
  <c r="O47" i="3" s="1"/>
  <c r="J84" i="1"/>
  <c r="O51" i="3" s="1"/>
  <c r="Q51" i="3" s="1"/>
  <c r="J92" i="1"/>
  <c r="O55" i="3" s="1"/>
  <c r="Q55" i="3" s="1"/>
  <c r="J100" i="1"/>
  <c r="O59" i="3" s="1"/>
  <c r="Q59" i="3" s="1"/>
  <c r="J108" i="1"/>
  <c r="O63" i="3" s="1"/>
  <c r="Q63" i="3" s="1"/>
  <c r="K33" i="1"/>
  <c r="P25" i="2" s="1"/>
  <c r="K41" i="1"/>
  <c r="P29" i="2" s="1"/>
  <c r="K49" i="1"/>
  <c r="P33" i="2" s="1"/>
  <c r="J44" i="2" s="1"/>
  <c r="K57" i="1"/>
  <c r="P37" i="2" s="1"/>
  <c r="J52" i="2" s="1"/>
  <c r="K65" i="1"/>
  <c r="P41" i="2" s="1"/>
  <c r="J60" i="2" s="1"/>
  <c r="K73" i="1"/>
  <c r="P45" i="2" s="1"/>
  <c r="J68" i="2" s="1"/>
  <c r="K81" i="1"/>
  <c r="P49" i="2" s="1"/>
  <c r="J76" i="2" s="1"/>
  <c r="K89" i="1"/>
  <c r="P53" i="2" s="1"/>
  <c r="K97" i="1"/>
  <c r="P57" i="2" s="1"/>
  <c r="K105" i="1"/>
  <c r="P61" i="2" s="1"/>
  <c r="L33" i="1"/>
  <c r="L41" i="1"/>
  <c r="F23" i="2" s="1"/>
  <c r="L49" i="1"/>
  <c r="L57" i="1"/>
  <c r="L65" i="1"/>
  <c r="L73" i="1"/>
  <c r="L81" i="1"/>
  <c r="L89" i="1"/>
  <c r="L97" i="1"/>
  <c r="L105" i="1"/>
  <c r="J31" i="1"/>
  <c r="O24" i="2" s="1"/>
  <c r="L60" i="1"/>
  <c r="L92" i="1"/>
  <c r="J32" i="1"/>
  <c r="O25" i="3" s="1"/>
  <c r="J48" i="1"/>
  <c r="O33" i="3" s="1"/>
  <c r="J64" i="1"/>
  <c r="O41" i="3" s="1"/>
  <c r="J80" i="1"/>
  <c r="O49" i="3" s="1"/>
  <c r="J96" i="1"/>
  <c r="O57" i="3" s="1"/>
  <c r="Q57" i="3" s="1"/>
  <c r="J30" i="1"/>
  <c r="O24" i="3" s="1"/>
  <c r="K45" i="1"/>
  <c r="P31" i="2" s="1"/>
  <c r="J40" i="2" s="1"/>
  <c r="K61" i="1"/>
  <c r="P39" i="2" s="1"/>
  <c r="J56" i="2" s="1"/>
  <c r="K77" i="1"/>
  <c r="P47" i="2" s="1"/>
  <c r="J72" i="2" s="1"/>
  <c r="K93" i="1"/>
  <c r="P55" i="2" s="1"/>
  <c r="K109" i="1"/>
  <c r="P63" i="2" s="1"/>
  <c r="L52" i="1"/>
  <c r="L84" i="1"/>
  <c r="J47" i="1"/>
  <c r="O32" i="2" s="1"/>
  <c r="S41" i="2" s="1"/>
  <c r="J63" i="1"/>
  <c r="O40" i="2" s="1"/>
  <c r="S57" i="2" s="1"/>
  <c r="J79" i="1"/>
  <c r="O48" i="2" s="1"/>
  <c r="J95" i="1"/>
  <c r="O56" i="2" s="1"/>
  <c r="J111" i="1"/>
  <c r="O64" i="2" s="1"/>
  <c r="K44" i="1"/>
  <c r="P31" i="3" s="1"/>
  <c r="K60" i="1"/>
  <c r="P39" i="3" s="1"/>
  <c r="K76" i="1"/>
  <c r="P47" i="3" s="1"/>
  <c r="K92" i="1"/>
  <c r="P55" i="3" s="1"/>
  <c r="K108" i="1"/>
  <c r="P63" i="3" s="1"/>
  <c r="L36" i="1"/>
  <c r="L68" i="1"/>
  <c r="L100" i="1"/>
  <c r="J39" i="1"/>
  <c r="O28" i="2" s="1"/>
  <c r="S33" i="2" s="1"/>
  <c r="J55" i="1"/>
  <c r="O36" i="2" s="1"/>
  <c r="J71" i="1"/>
  <c r="O44" i="2" s="1"/>
  <c r="J87" i="1"/>
  <c r="O52" i="2" s="1"/>
  <c r="J103" i="1"/>
  <c r="O60" i="2" s="1"/>
  <c r="K36" i="1"/>
  <c r="P27" i="3" s="1"/>
  <c r="K52" i="1"/>
  <c r="P35" i="3" s="1"/>
  <c r="K68" i="1"/>
  <c r="P43" i="3" s="1"/>
  <c r="K84" i="1"/>
  <c r="P51" i="3" s="1"/>
  <c r="K100" i="1"/>
  <c r="P59" i="3" s="1"/>
  <c r="L44" i="1"/>
  <c r="L76" i="1"/>
  <c r="L108" i="1"/>
  <c r="J40" i="1"/>
  <c r="O29" i="3" s="1"/>
  <c r="J56" i="1"/>
  <c r="O37" i="3" s="1"/>
  <c r="J72" i="1"/>
  <c r="O45" i="3" s="1"/>
  <c r="J88" i="1"/>
  <c r="O53" i="3" s="1"/>
  <c r="Q53" i="3" s="1"/>
  <c r="J104" i="1"/>
  <c r="O61" i="3" s="1"/>
  <c r="Q61" i="3" s="1"/>
  <c r="K37" i="1"/>
  <c r="P27" i="2" s="1"/>
  <c r="K53" i="1"/>
  <c r="P35" i="2" s="1"/>
  <c r="J48" i="2" s="1"/>
  <c r="K69" i="1"/>
  <c r="P43" i="2" s="1"/>
  <c r="J64" i="2" s="1"/>
  <c r="K85" i="1"/>
  <c r="P51" i="2" s="1"/>
  <c r="K101" i="1"/>
  <c r="P59" i="2" s="1"/>
  <c r="O8" i="2"/>
  <c r="O8" i="3"/>
  <c r="S24" i="3" l="1"/>
  <c r="L19" i="3"/>
  <c r="B19" i="3"/>
  <c r="B20" i="3"/>
  <c r="J20" i="3" s="1"/>
  <c r="Q5" i="3"/>
  <c r="Q36" i="3" s="1"/>
  <c r="O5" i="3"/>
  <c r="Q37" i="3" s="1"/>
  <c r="P5" i="3"/>
  <c r="Q38" i="3" s="1"/>
  <c r="Q57" i="2"/>
  <c r="R91" i="2" s="1"/>
  <c r="Q53" i="2"/>
  <c r="R83" i="2" s="1"/>
  <c r="S24" i="2"/>
  <c r="L20" i="2"/>
  <c r="B20" i="2"/>
  <c r="J20" i="2" s="1"/>
  <c r="Q64" i="2"/>
  <c r="Q56" i="2"/>
  <c r="R89" i="2" s="1"/>
  <c r="Q62" i="2"/>
  <c r="R101" i="2" s="1"/>
  <c r="Q55" i="2"/>
  <c r="R87" i="2" s="1"/>
  <c r="Q60" i="2"/>
  <c r="R97" i="2" s="1"/>
  <c r="F25" i="2"/>
  <c r="F162" i="2"/>
  <c r="Q63" i="2"/>
  <c r="R103" i="2" s="1"/>
  <c r="Q61" i="2"/>
  <c r="R99" i="2" s="1"/>
  <c r="Q58" i="2"/>
  <c r="R93" i="2" s="1"/>
  <c r="Q54" i="2"/>
  <c r="R85" i="2" s="1"/>
  <c r="Q59" i="2"/>
  <c r="R95" i="2" s="1"/>
  <c r="Q5" i="2"/>
  <c r="P5" i="2"/>
  <c r="Q38" i="2" s="1"/>
  <c r="R53" i="2" s="1"/>
  <c r="O5" i="2"/>
  <c r="Q52" i="2" s="1"/>
  <c r="R81" i="2" s="1"/>
  <c r="E17" i="1"/>
  <c r="E15" i="1"/>
  <c r="F15" i="1" s="1"/>
  <c r="J163" i="2"/>
  <c r="Q49" i="3" l="1"/>
  <c r="Q43" i="3"/>
  <c r="Q29" i="3"/>
  <c r="Q25" i="3"/>
  <c r="Q48" i="3"/>
  <c r="Q50" i="3"/>
  <c r="Q26" i="3"/>
  <c r="Q30" i="3"/>
  <c r="Q33" i="3"/>
  <c r="Q35" i="3"/>
  <c r="Q27" i="3"/>
  <c r="Q24" i="3"/>
  <c r="Q47" i="3"/>
  <c r="Q34" i="3"/>
  <c r="Q39" i="3"/>
  <c r="Q40" i="3"/>
  <c r="Q31" i="3"/>
  <c r="Q45" i="3"/>
  <c r="Q44" i="3"/>
  <c r="Q42" i="3"/>
  <c r="Q46" i="3"/>
  <c r="Q41" i="3"/>
  <c r="Q32" i="3"/>
  <c r="Q28" i="3"/>
  <c r="T93" i="2"/>
  <c r="J93" i="2" s="1"/>
  <c r="U93" i="2"/>
  <c r="T99" i="2"/>
  <c r="J99" i="2" s="1"/>
  <c r="U99" i="2"/>
  <c r="T103" i="2"/>
  <c r="J103" i="2" s="1"/>
  <c r="U103" i="2"/>
  <c r="T97" i="2"/>
  <c r="J97" i="2" s="1"/>
  <c r="U97" i="2"/>
  <c r="T89" i="2"/>
  <c r="J89" i="2" s="1"/>
  <c r="U89" i="2"/>
  <c r="T83" i="2"/>
  <c r="J83" i="2" s="1"/>
  <c r="U83" i="2"/>
  <c r="T91" i="2"/>
  <c r="J91" i="2" s="1"/>
  <c r="U91" i="2"/>
  <c r="T81" i="2"/>
  <c r="J81" i="2" s="1"/>
  <c r="U81" i="2"/>
  <c r="T87" i="2"/>
  <c r="J87" i="2" s="1"/>
  <c r="U87" i="2"/>
  <c r="T101" i="2"/>
  <c r="J101" i="2" s="1"/>
  <c r="U101" i="2"/>
  <c r="U53" i="2"/>
  <c r="T53" i="2" s="1"/>
  <c r="J53" i="2" s="1"/>
  <c r="T95" i="2"/>
  <c r="J95" i="2" s="1"/>
  <c r="U95" i="2"/>
  <c r="T85" i="2"/>
  <c r="J85" i="2" s="1"/>
  <c r="U85" i="2"/>
  <c r="Q48" i="2"/>
  <c r="R73" i="2" s="1"/>
  <c r="Q36" i="2"/>
  <c r="R49" i="2" s="1"/>
  <c r="Q47" i="2"/>
  <c r="R71" i="2" s="1"/>
  <c r="Q44" i="2"/>
  <c r="R65" i="2" s="1"/>
  <c r="Q46" i="2"/>
  <c r="R69" i="2" s="1"/>
  <c r="Q40" i="2"/>
  <c r="R57" i="2" s="1"/>
  <c r="Q25" i="2"/>
  <c r="R27" i="2" s="1"/>
  <c r="Q50" i="2"/>
  <c r="R77" i="2" s="1"/>
  <c r="Q45" i="2"/>
  <c r="R67" i="2" s="1"/>
  <c r="Q24" i="2"/>
  <c r="R25" i="2" s="1"/>
  <c r="Q35" i="2"/>
  <c r="R47" i="2" s="1"/>
  <c r="Q49" i="2"/>
  <c r="R75" i="2" s="1"/>
  <c r="Q26" i="2"/>
  <c r="R29" i="2" s="1"/>
  <c r="Q34" i="2"/>
  <c r="R45" i="2" s="1"/>
  <c r="Q39" i="2"/>
  <c r="R55" i="2" s="1"/>
  <c r="Q30" i="2"/>
  <c r="R37" i="2" s="1"/>
  <c r="Q32" i="2"/>
  <c r="R41" i="2" s="1"/>
  <c r="Q37" i="2"/>
  <c r="R51" i="2" s="1"/>
  <c r="Q51" i="2"/>
  <c r="R79" i="2" s="1"/>
  <c r="Q27" i="2"/>
  <c r="Q31" i="2"/>
  <c r="R39" i="2" s="1"/>
  <c r="Q33" i="2"/>
  <c r="R43" i="2" s="1"/>
  <c r="Q43" i="2"/>
  <c r="R63" i="2" s="1"/>
  <c r="Q29" i="2"/>
  <c r="R35" i="2" s="1"/>
  <c r="Q42" i="2"/>
  <c r="R61" i="2" s="1"/>
  <c r="Q41" i="2"/>
  <c r="R59" i="2" s="1"/>
  <c r="Q28" i="2"/>
  <c r="R33" i="2" s="1"/>
  <c r="R60" i="3"/>
  <c r="R46" i="3"/>
  <c r="R72" i="3"/>
  <c r="R34" i="3"/>
  <c r="R62" i="3"/>
  <c r="R50" i="3"/>
  <c r="R40" i="3"/>
  <c r="R48" i="3"/>
  <c r="R56" i="3"/>
  <c r="R26" i="3"/>
  <c r="R52" i="3"/>
  <c r="R36" i="3"/>
  <c r="R58" i="3"/>
  <c r="R44" i="3"/>
  <c r="R66" i="3"/>
  <c r="R42" i="3"/>
  <c r="R54" i="3"/>
  <c r="R68" i="3"/>
  <c r="R28" i="3"/>
  <c r="R64" i="3"/>
  <c r="R76" i="3"/>
  <c r="R74" i="3"/>
  <c r="R70" i="3"/>
  <c r="R38" i="3"/>
  <c r="U50" i="3" l="1"/>
  <c r="U60" i="3"/>
  <c r="U74" i="3"/>
  <c r="U46" i="3"/>
  <c r="R25" i="3"/>
  <c r="R32" i="3"/>
  <c r="U64" i="3"/>
  <c r="U34" i="3"/>
  <c r="U36" i="3"/>
  <c r="U40" i="3"/>
  <c r="U42" i="3"/>
  <c r="U44" i="3"/>
  <c r="U58" i="3"/>
  <c r="U52" i="3"/>
  <c r="U70" i="3"/>
  <c r="U76" i="3"/>
  <c r="U72" i="3"/>
  <c r="U28" i="3"/>
  <c r="U66" i="3"/>
  <c r="R163" i="3"/>
  <c r="R30" i="3"/>
  <c r="U26" i="3"/>
  <c r="U48" i="3"/>
  <c r="U62" i="3"/>
  <c r="U68" i="3"/>
  <c r="U54" i="3"/>
  <c r="U38" i="3"/>
  <c r="U56" i="3"/>
  <c r="U67" i="2"/>
  <c r="T67" i="2" s="1"/>
  <c r="J67" i="2" s="1"/>
  <c r="U29" i="2"/>
  <c r="T29" i="2" s="1"/>
  <c r="U75" i="2"/>
  <c r="T75" i="2" s="1"/>
  <c r="J75" i="2" s="1"/>
  <c r="U47" i="2"/>
  <c r="T47" i="2" s="1"/>
  <c r="J47" i="2" s="1"/>
  <c r="U33" i="2"/>
  <c r="T33" i="2" s="1"/>
  <c r="J33" i="2" s="1"/>
  <c r="U57" i="2"/>
  <c r="T57" i="2" s="1"/>
  <c r="J57" i="2" s="1"/>
  <c r="U69" i="2"/>
  <c r="T69" i="2" s="1"/>
  <c r="J69" i="2" s="1"/>
  <c r="U35" i="2"/>
  <c r="T35" i="2" s="1"/>
  <c r="J35" i="2" s="1"/>
  <c r="U63" i="2"/>
  <c r="T63" i="2" s="1"/>
  <c r="J63" i="2" s="1"/>
  <c r="U49" i="2"/>
  <c r="T49" i="2" s="1"/>
  <c r="J49" i="2" s="1"/>
  <c r="U39" i="2"/>
  <c r="T39" i="2" s="1"/>
  <c r="J39" i="2" s="1"/>
  <c r="U73" i="2"/>
  <c r="T73" i="2" s="1"/>
  <c r="J73" i="2" s="1"/>
  <c r="U27" i="2"/>
  <c r="T27" i="2" s="1"/>
  <c r="U59" i="2"/>
  <c r="T59" i="2" s="1"/>
  <c r="J59" i="2" s="1"/>
  <c r="U61" i="2"/>
  <c r="T61" i="2" s="1"/>
  <c r="J61" i="2" s="1"/>
  <c r="U65" i="2"/>
  <c r="T65" i="2" s="1"/>
  <c r="J65" i="2" s="1"/>
  <c r="U43" i="2"/>
  <c r="T43" i="2" s="1"/>
  <c r="J43" i="2" s="1"/>
  <c r="U51" i="2"/>
  <c r="T51" i="2" s="1"/>
  <c r="J51" i="2" s="1"/>
  <c r="U41" i="2"/>
  <c r="T41" i="2" s="1"/>
  <c r="J41" i="2" s="1"/>
  <c r="U45" i="2"/>
  <c r="T45" i="2" s="1"/>
  <c r="J45" i="2" s="1"/>
  <c r="U77" i="2"/>
  <c r="T77" i="2" s="1"/>
  <c r="J77" i="2" s="1"/>
  <c r="U71" i="2"/>
  <c r="T71" i="2" s="1"/>
  <c r="J71" i="2" s="1"/>
  <c r="R162" i="2"/>
  <c r="R31" i="2"/>
  <c r="T79" i="2"/>
  <c r="J79" i="2" s="1"/>
  <c r="U79" i="2"/>
  <c r="U37" i="2"/>
  <c r="T37" i="2" s="1"/>
  <c r="J37" i="2" s="1"/>
  <c r="U55" i="2"/>
  <c r="T55" i="2" s="1"/>
  <c r="J55" i="2" s="1"/>
  <c r="U25" i="2"/>
  <c r="T25" i="2" s="1"/>
  <c r="U162" i="2"/>
  <c r="T162" i="2" s="1"/>
  <c r="J162" i="2" s="1"/>
  <c r="J36" i="2"/>
  <c r="J160" i="2"/>
  <c r="R24" i="3"/>
  <c r="R24" i="2"/>
  <c r="U24" i="2" s="1"/>
  <c r="D17" i="1"/>
  <c r="F17" i="1" s="1"/>
  <c r="U163" i="3" l="1"/>
  <c r="T163" i="3"/>
  <c r="J163" i="3" s="1"/>
  <c r="U25" i="3"/>
  <c r="T25" i="3"/>
  <c r="U30" i="3"/>
  <c r="U32" i="3"/>
  <c r="U31" i="2"/>
  <c r="T31" i="2" s="1"/>
  <c r="J31" i="2" s="1"/>
  <c r="U24" i="3"/>
  <c r="T24" i="2"/>
  <c r="J160" i="3"/>
  <c r="J32" i="2"/>
  <c r="J29" i="2"/>
  <c r="J27" i="2"/>
  <c r="M57" i="3"/>
  <c r="N57" i="3" s="1"/>
  <c r="M56" i="3"/>
  <c r="N56" i="3" s="1"/>
  <c r="M55" i="3"/>
  <c r="N55" i="3" s="1"/>
  <c r="M54" i="3"/>
  <c r="N54" i="3" s="1"/>
  <c r="M53" i="3"/>
  <c r="N53" i="3" s="1"/>
  <c r="M52" i="3"/>
  <c r="N52" i="3" s="1"/>
  <c r="M57" i="2"/>
  <c r="M56" i="2"/>
  <c r="M55" i="2"/>
  <c r="M54" i="2"/>
  <c r="M53" i="2"/>
  <c r="M52" i="2"/>
  <c r="J25" i="2" l="1"/>
  <c r="J26" i="2"/>
  <c r="J24" i="2"/>
  <c r="J30" i="2"/>
  <c r="J28" i="2"/>
  <c r="J156" i="2"/>
  <c r="M16" i="2"/>
  <c r="M17" i="2"/>
  <c r="M18" i="2"/>
  <c r="M19" i="2"/>
  <c r="D19" i="1"/>
  <c r="F19" i="1" l="1"/>
  <c r="F26" i="1" s="1"/>
  <c r="L17" i="3"/>
  <c r="L18" i="3"/>
  <c r="L20" i="3"/>
  <c r="M20" i="3"/>
  <c r="M18" i="3"/>
  <c r="M17" i="3"/>
  <c r="M16" i="3"/>
  <c r="L16" i="3"/>
  <c r="L16" i="2" l="1"/>
  <c r="L17" i="2"/>
  <c r="L18" i="2"/>
  <c r="L19" i="2"/>
  <c r="M51" i="3"/>
  <c r="N51" i="3" s="1"/>
  <c r="M50" i="3"/>
  <c r="N50" i="3" s="1"/>
  <c r="M49" i="3"/>
  <c r="N49" i="3" s="1"/>
  <c r="M48" i="3"/>
  <c r="N48" i="3" s="1"/>
  <c r="M47" i="3"/>
  <c r="N47" i="3" s="1"/>
  <c r="M46" i="3"/>
  <c r="N46" i="3" s="1"/>
  <c r="M45" i="3"/>
  <c r="N45" i="3" s="1"/>
  <c r="M44" i="3"/>
  <c r="N44" i="3" s="1"/>
  <c r="M43" i="3"/>
  <c r="N43" i="3" s="1"/>
  <c r="M42" i="3"/>
  <c r="N42" i="3" s="1"/>
  <c r="M41" i="3"/>
  <c r="N41" i="3" s="1"/>
  <c r="M40" i="3"/>
  <c r="N40" i="3" s="1"/>
  <c r="M39" i="3"/>
  <c r="N39" i="3" s="1"/>
  <c r="M38" i="3"/>
  <c r="N38" i="3" s="1"/>
  <c r="M37" i="3"/>
  <c r="N37" i="3" s="1"/>
  <c r="M36" i="3"/>
  <c r="N36" i="3" s="1"/>
  <c r="M35" i="3"/>
  <c r="N35" i="3" s="1"/>
  <c r="M34" i="3"/>
  <c r="N34" i="3" s="1"/>
  <c r="M33" i="3"/>
  <c r="N33" i="3" s="1"/>
  <c r="M32" i="3"/>
  <c r="N32" i="3" s="1"/>
  <c r="M31" i="3"/>
  <c r="N31" i="3" s="1"/>
  <c r="M30" i="3"/>
  <c r="N30" i="3" s="1"/>
  <c r="M29" i="3"/>
  <c r="N29" i="3" s="1"/>
  <c r="M28" i="3"/>
  <c r="N28" i="3" s="1"/>
  <c r="M27" i="3"/>
  <c r="N27" i="3" s="1"/>
  <c r="M26" i="3"/>
  <c r="N26" i="3" s="1"/>
  <c r="M25" i="3"/>
  <c r="N25" i="3" s="1"/>
  <c r="M24" i="3"/>
  <c r="H159" i="3"/>
  <c r="H158" i="3"/>
  <c r="H157" i="3"/>
  <c r="H156" i="3"/>
  <c r="H155" i="3"/>
  <c r="H154" i="3"/>
  <c r="H153" i="3"/>
  <c r="H152" i="3"/>
  <c r="H151" i="3"/>
  <c r="H150" i="3"/>
  <c r="H149" i="3"/>
  <c r="H148" i="3"/>
  <c r="H147" i="3"/>
  <c r="H146" i="3"/>
  <c r="H145" i="3"/>
  <c r="H144" i="3"/>
  <c r="J144" i="3" s="1"/>
  <c r="H143" i="3"/>
  <c r="H142" i="3"/>
  <c r="H141" i="3"/>
  <c r="H140" i="3"/>
  <c r="J140" i="3" s="1"/>
  <c r="H139" i="3"/>
  <c r="H138" i="3"/>
  <c r="H137" i="3"/>
  <c r="H136" i="3"/>
  <c r="J136" i="3" s="1"/>
  <c r="H135" i="3"/>
  <c r="H134" i="3"/>
  <c r="H133" i="3"/>
  <c r="H132" i="3"/>
  <c r="J132" i="3" s="1"/>
  <c r="H131" i="3"/>
  <c r="H130" i="3"/>
  <c r="H129" i="3"/>
  <c r="H128" i="3"/>
  <c r="M51" i="2"/>
  <c r="M50" i="2"/>
  <c r="M49" i="2"/>
  <c r="M48" i="2"/>
  <c r="M47" i="2"/>
  <c r="M46" i="2"/>
  <c r="M45" i="2"/>
  <c r="M44" i="2"/>
  <c r="M43" i="2"/>
  <c r="M42" i="2"/>
  <c r="M41" i="2"/>
  <c r="M40" i="2"/>
  <c r="M39" i="2"/>
  <c r="M38" i="2"/>
  <c r="M37" i="2"/>
  <c r="M36" i="2"/>
  <c r="M35" i="2"/>
  <c r="M34" i="2"/>
  <c r="M33" i="2"/>
  <c r="M32" i="2"/>
  <c r="M31" i="2"/>
  <c r="M30" i="2"/>
  <c r="M29" i="2"/>
  <c r="M28" i="2"/>
  <c r="M27" i="2"/>
  <c r="M26" i="2"/>
  <c r="M25" i="2"/>
  <c r="M24" i="2"/>
  <c r="M64" i="3" l="1"/>
  <c r="N24" i="3"/>
  <c r="M65" i="2"/>
  <c r="H23" i="3"/>
  <c r="H127" i="3"/>
  <c r="H126" i="3"/>
  <c r="H125" i="3"/>
  <c r="H124" i="3"/>
  <c r="H123" i="3"/>
  <c r="H122" i="3"/>
  <c r="H121" i="3"/>
  <c r="H120" i="3"/>
  <c r="H119" i="3"/>
  <c r="H118" i="3"/>
  <c r="H117" i="3"/>
  <c r="H116" i="3"/>
  <c r="H115" i="3"/>
  <c r="H114" i="3"/>
  <c r="H113" i="3"/>
  <c r="H112" i="3"/>
  <c r="H111" i="3"/>
  <c r="H110" i="3"/>
  <c r="H109" i="3"/>
  <c r="H108" i="3"/>
  <c r="H107" i="3"/>
  <c r="H106" i="3"/>
  <c r="H105" i="3"/>
  <c r="J105" i="3" s="1"/>
  <c r="H104" i="3"/>
  <c r="H103" i="3"/>
  <c r="H102" i="3"/>
  <c r="H101" i="3"/>
  <c r="H100" i="3"/>
  <c r="H99" i="3"/>
  <c r="H98" i="3"/>
  <c r="H97" i="3"/>
  <c r="H96" i="3"/>
  <c r="H95" i="3"/>
  <c r="H94" i="3"/>
  <c r="H93" i="3"/>
  <c r="H92" i="3"/>
  <c r="H91" i="3"/>
  <c r="H90" i="3"/>
  <c r="H89" i="3"/>
  <c r="H88" i="3"/>
  <c r="H87" i="3"/>
  <c r="H86" i="3"/>
  <c r="H85" i="3"/>
  <c r="H84" i="3"/>
  <c r="H83" i="3"/>
  <c r="H82" i="3"/>
  <c r="H81" i="3"/>
  <c r="H80" i="3"/>
  <c r="H79" i="3"/>
  <c r="H78" i="3"/>
  <c r="H77" i="3"/>
  <c r="H76" i="3"/>
  <c r="H75" i="3"/>
  <c r="H74" i="3"/>
  <c r="H73" i="3"/>
  <c r="H72" i="3"/>
  <c r="H71" i="3"/>
  <c r="H70" i="3"/>
  <c r="H69" i="3"/>
  <c r="H68" i="3"/>
  <c r="H67" i="3"/>
  <c r="H66" i="3"/>
  <c r="H65" i="3"/>
  <c r="H64" i="3"/>
  <c r="H63" i="3"/>
  <c r="H62" i="3"/>
  <c r="T62" i="3" s="1"/>
  <c r="H61" i="3"/>
  <c r="H60" i="3"/>
  <c r="H59" i="3"/>
  <c r="H58" i="3"/>
  <c r="H57" i="3"/>
  <c r="H56" i="3"/>
  <c r="H55" i="3"/>
  <c r="H54" i="3"/>
  <c r="H53" i="3"/>
  <c r="H52" i="3"/>
  <c r="H51" i="3"/>
  <c r="H50" i="3"/>
  <c r="H49" i="3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J27" i="3" s="1"/>
  <c r="H26" i="3"/>
  <c r="T26" i="3" s="1"/>
  <c r="H25" i="3"/>
  <c r="H24" i="3"/>
  <c r="T24" i="3" s="1"/>
  <c r="H23" i="2"/>
  <c r="T32" i="3" l="1"/>
  <c r="J32" i="3" s="1"/>
  <c r="T72" i="3"/>
  <c r="J72" i="3" s="1"/>
  <c r="T54" i="3"/>
  <c r="J54" i="3" s="1"/>
  <c r="T56" i="3"/>
  <c r="J56" i="3" s="1"/>
  <c r="T38" i="3"/>
  <c r="J38" i="3" s="1"/>
  <c r="T52" i="3"/>
  <c r="J52" i="3" s="1"/>
  <c r="T34" i="3"/>
  <c r="J34" i="3" s="1"/>
  <c r="T74" i="3"/>
  <c r="J74" i="3" s="1"/>
  <c r="T76" i="3"/>
  <c r="J76" i="3" s="1"/>
  <c r="T58" i="3"/>
  <c r="J58" i="3" s="1"/>
  <c r="T60" i="3"/>
  <c r="J60" i="3" s="1"/>
  <c r="T42" i="3"/>
  <c r="J42" i="3" s="1"/>
  <c r="T64" i="3"/>
  <c r="J64" i="3" s="1"/>
  <c r="T28" i="3"/>
  <c r="J28" i="3" s="1"/>
  <c r="T48" i="3"/>
  <c r="J48" i="3" s="1"/>
  <c r="T68" i="3"/>
  <c r="J68" i="3" s="1"/>
  <c r="T30" i="3"/>
  <c r="J30" i="3" s="1"/>
  <c r="T50" i="3"/>
  <c r="J50" i="3" s="1"/>
  <c r="T70" i="3"/>
  <c r="J70" i="3" s="1"/>
  <c r="T36" i="3"/>
  <c r="J36" i="3" s="1"/>
  <c r="T40" i="3"/>
  <c r="J40" i="3" s="1"/>
  <c r="T44" i="3"/>
  <c r="J44" i="3" s="1"/>
  <c r="T46" i="3"/>
  <c r="J46" i="3" s="1"/>
  <c r="T66" i="3"/>
  <c r="J66" i="3" s="1"/>
  <c r="J62" i="3"/>
  <c r="J26" i="3"/>
  <c r="J25" i="3"/>
  <c r="J24" i="3"/>
  <c r="J37" i="3"/>
  <c r="F13" i="2" l="1"/>
  <c r="F12" i="2"/>
  <c r="F11" i="2"/>
  <c r="O2" i="2" l="1"/>
  <c r="A5" i="2"/>
  <c r="N27" i="2"/>
  <c r="F12" i="3"/>
  <c r="F13" i="3"/>
  <c r="N60" i="2" l="1"/>
  <c r="N58" i="2"/>
  <c r="N63" i="2"/>
  <c r="N61" i="2"/>
  <c r="N59" i="2"/>
  <c r="N64" i="2"/>
  <c r="N62" i="2"/>
  <c r="N52" i="2"/>
  <c r="N55" i="2"/>
  <c r="N56" i="2"/>
  <c r="N53" i="2"/>
  <c r="N57" i="2"/>
  <c r="N54" i="2"/>
  <c r="N38" i="2"/>
  <c r="N24" i="2"/>
  <c r="N44" i="2"/>
  <c r="N33" i="2"/>
  <c r="N49" i="2"/>
  <c r="N50" i="2"/>
  <c r="N39" i="2"/>
  <c r="N32" i="2"/>
  <c r="N28" i="2"/>
  <c r="N48" i="2"/>
  <c r="N37" i="2"/>
  <c r="N46" i="2"/>
  <c r="N43" i="2"/>
  <c r="N26" i="2"/>
  <c r="N36" i="2"/>
  <c r="N25" i="2"/>
  <c r="N41" i="2"/>
  <c r="N30" i="2"/>
  <c r="N31" i="2"/>
  <c r="N47" i="2"/>
  <c r="N34" i="2"/>
  <c r="N40" i="2"/>
  <c r="N29" i="2"/>
  <c r="N45" i="2"/>
  <c r="N42" i="2"/>
  <c r="N35" i="2"/>
  <c r="N51" i="2"/>
</calcChain>
</file>

<file path=xl/sharedStrings.xml><?xml version="1.0" encoding="utf-8"?>
<sst xmlns="http://schemas.openxmlformats.org/spreadsheetml/2006/main" count="759" uniqueCount="384">
  <si>
    <t>比賽名稱:</t>
  </si>
  <si>
    <t>比賽日期:</t>
  </si>
  <si>
    <t>比賽地點:</t>
  </si>
  <si>
    <t>團體名稱:</t>
  </si>
  <si>
    <t>負責人:</t>
  </si>
  <si>
    <t>聯絡電話:</t>
  </si>
  <si>
    <t>數量</t>
  </si>
  <si>
    <t>費用</t>
  </si>
  <si>
    <t>收費</t>
  </si>
  <si>
    <t>單項(男)</t>
  </si>
  <si>
    <t>單項(女)</t>
  </si>
  <si>
    <t>接力</t>
  </si>
  <si>
    <t>付來現金 / 支票 :</t>
  </si>
  <si>
    <t>收款人 :</t>
  </si>
  <si>
    <t>日期 :</t>
  </si>
  <si>
    <t>填表注意事項:</t>
  </si>
  <si>
    <t>4. 時間格式以此為準 - 例: 0:26:88 , 請輸入 2688</t>
  </si>
  <si>
    <t>姓名 (中)</t>
  </si>
  <si>
    <t>姓名 (英)</t>
  </si>
  <si>
    <t>出生年份</t>
  </si>
  <si>
    <t>項目編號</t>
  </si>
  <si>
    <t>報項時間</t>
  </si>
  <si>
    <t>例</t>
  </si>
  <si>
    <t>王一一</t>
  </si>
  <si>
    <t>Wong Yat Yat</t>
  </si>
  <si>
    <t>香港中華業餘游泳聯會
比賽報名表 (女子)</t>
  </si>
  <si>
    <t>女運動員 1</t>
    <phoneticPr fontId="5" type="noConversion"/>
  </si>
  <si>
    <t>女運動員 2</t>
    <phoneticPr fontId="5" type="noConversion"/>
  </si>
  <si>
    <t>女運動員 3</t>
  </si>
  <si>
    <t>女運動員 4</t>
  </si>
  <si>
    <t>女運動員 5</t>
  </si>
  <si>
    <t>女運動員 6</t>
  </si>
  <si>
    <t>女運動員 7</t>
  </si>
  <si>
    <t>女運動員 8</t>
  </si>
  <si>
    <t>女運動員 9</t>
  </si>
  <si>
    <t>女運動員 10</t>
  </si>
  <si>
    <t>女運動員 11</t>
  </si>
  <si>
    <t>女運動員 12</t>
  </si>
  <si>
    <t>女運動員 13</t>
  </si>
  <si>
    <t>女運動員 14</t>
  </si>
  <si>
    <t>女運動員 15</t>
  </si>
  <si>
    <t>女運動員 16</t>
  </si>
  <si>
    <t>女運動員 17</t>
  </si>
  <si>
    <t>女運動員 18</t>
  </si>
  <si>
    <t>女運動員 19</t>
  </si>
  <si>
    <t>女運動員 20</t>
  </si>
  <si>
    <t>女運動員 21</t>
  </si>
  <si>
    <t>女運動員 22</t>
  </si>
  <si>
    <t>女運動員 23</t>
  </si>
  <si>
    <t>女運動員 24</t>
  </si>
  <si>
    <t>女運動員 25</t>
  </si>
  <si>
    <t>女運動員 26</t>
  </si>
  <si>
    <t>總數</t>
    <phoneticPr fontId="5" type="noConversion"/>
  </si>
  <si>
    <t>接力項目</t>
    <phoneticPr fontId="5" type="noConversion"/>
  </si>
  <si>
    <t>個人項目</t>
    <phoneticPr fontId="5" type="noConversion"/>
  </si>
  <si>
    <t>接力團體</t>
    <phoneticPr fontId="5" type="noConversion"/>
  </si>
  <si>
    <t>團體項目</t>
    <phoneticPr fontId="5" type="noConversion"/>
  </si>
  <si>
    <t>男運動員 1</t>
    <phoneticPr fontId="5" type="noConversion"/>
  </si>
  <si>
    <t>男運動員 2</t>
    <phoneticPr fontId="5" type="noConversion"/>
  </si>
  <si>
    <t>男運動員 4</t>
  </si>
  <si>
    <t>男運動員 5</t>
  </si>
  <si>
    <t>男運動員 6</t>
  </si>
  <si>
    <t>男運動員 7</t>
  </si>
  <si>
    <t>男運動員 8</t>
  </si>
  <si>
    <t>男運動員 9</t>
  </si>
  <si>
    <t>男運動員 10</t>
  </si>
  <si>
    <t>男運動員 11</t>
  </si>
  <si>
    <t>男運動員 12</t>
  </si>
  <si>
    <t>男運動員 13</t>
  </si>
  <si>
    <t>男運動員 14</t>
  </si>
  <si>
    <t>男運動員 15</t>
  </si>
  <si>
    <t>男運動員 16</t>
  </si>
  <si>
    <t>男運動員 17</t>
  </si>
  <si>
    <t>男運動員 18</t>
  </si>
  <si>
    <t>男運動員 19</t>
  </si>
  <si>
    <t>男運動員 20</t>
  </si>
  <si>
    <t>男運動員 21</t>
  </si>
  <si>
    <t>男運動員 22</t>
  </si>
  <si>
    <t>男運動員 23</t>
  </si>
  <si>
    <t>男運動員 24</t>
  </si>
  <si>
    <t>男運動員 25</t>
  </si>
  <si>
    <t>男運動員 26</t>
  </si>
  <si>
    <t>香港中華業餘游泳聯會
比賽報名表 (男子)</t>
    <phoneticPr fontId="5" type="noConversion"/>
  </si>
  <si>
    <t>香港中華業餘游泳聯會</t>
  </si>
  <si>
    <r>
      <rPr>
        <u/>
        <sz val="12"/>
        <color indexed="12"/>
        <rFont val="標楷體"/>
        <family val="4"/>
        <charset val="136"/>
      </rPr>
      <t>電子郵件</t>
    </r>
    <r>
      <rPr>
        <u/>
        <sz val="12"/>
        <color indexed="12"/>
        <rFont val="Arial"/>
        <family val="2"/>
      </rPr>
      <t>: hkcasa.org.hk@gmail.com</t>
    </r>
  </si>
  <si>
    <t>性別</t>
  </si>
  <si>
    <t>出生日期 (yyyy/mm/dd)</t>
  </si>
  <si>
    <t>屬會名稱</t>
  </si>
  <si>
    <t>中文姓名</t>
    <phoneticPr fontId="5" type="noConversion"/>
  </si>
  <si>
    <t>英文姓名</t>
    <phoneticPr fontId="5" type="noConversion"/>
  </si>
  <si>
    <t>2. 運動員註冊費全免</t>
    <phoneticPr fontId="5" type="noConversion"/>
  </si>
  <si>
    <t>1. 請先在此版面先填寫基本資料，其後相關資料會自動顯示所屬版面及位置上</t>
    <phoneticPr fontId="5" type="noConversion"/>
  </si>
  <si>
    <t>2. 報名格式及要求，請參閱報名版面</t>
    <phoneticPr fontId="5" type="noConversion"/>
  </si>
  <si>
    <t>香港中華業餘游泳聯會
比賽報名總表及收據</t>
    <phoneticPr fontId="5" type="noConversion"/>
  </si>
  <si>
    <t xml:space="preserve"> </t>
    <phoneticPr fontId="5" type="noConversion"/>
  </si>
  <si>
    <t>年齡</t>
  </si>
  <si>
    <t>證件號碼
(只需填英文字母及前 4 位數字)</t>
    <phoneticPr fontId="5" type="noConversion"/>
  </si>
  <si>
    <t>男運動員 27</t>
  </si>
  <si>
    <t>男運動員 28</t>
  </si>
  <si>
    <t>男運動員 29</t>
  </si>
  <si>
    <t>男運動員 30</t>
  </si>
  <si>
    <t>男運動員 31</t>
  </si>
  <si>
    <t>男運動員 32</t>
  </si>
  <si>
    <t>男運動員 33</t>
  </si>
  <si>
    <t>男運動員 34</t>
  </si>
  <si>
    <t>短池</t>
    <phoneticPr fontId="5" type="noConversion"/>
  </si>
  <si>
    <t>4X50米四式階梯接力</t>
  </si>
  <si>
    <t>4X50米自由式階梯接力</t>
  </si>
  <si>
    <t>男甲 4X100米混合泳接力</t>
  </si>
  <si>
    <t>男乙 4X100米混合泳接力</t>
  </si>
  <si>
    <t>男甲 4X100米自由泳接力</t>
  </si>
  <si>
    <t>男乙 4X100米自由泳接力</t>
  </si>
  <si>
    <t>男甲 4X50米自由泳接力</t>
  </si>
  <si>
    <t>男乙 4X50米自由泳接力</t>
  </si>
  <si>
    <t>男甲 4X50米四式接力</t>
  </si>
  <si>
    <t>男乙 4X50米四式接力</t>
  </si>
  <si>
    <t>1. 任何時間均接受運動員註冊，請於截止報名比賽日期或之前完成運動員註冊程序</t>
    <phoneticPr fontId="5" type="noConversion"/>
  </si>
  <si>
    <r>
      <t>請注意以下事項</t>
    </r>
    <r>
      <rPr>
        <sz val="14"/>
        <rFont val="新細明體"/>
        <family val="1"/>
        <charset val="136"/>
      </rPr>
      <t>︰</t>
    </r>
    <phoneticPr fontId="5" type="noConversion"/>
  </si>
  <si>
    <t>3. 如有懷疑，本會有權要求屬會提交運動員身份証明文件以茲核實</t>
    <phoneticPr fontId="5" type="noConversion"/>
  </si>
  <si>
    <r>
      <rPr>
        <b/>
        <sz val="12"/>
        <rFont val="新細明體"/>
        <family val="1"/>
        <charset val="136"/>
      </rPr>
      <t xml:space="preserve">2. </t>
    </r>
    <r>
      <rPr>
        <b/>
        <sz val="12"/>
        <color rgb="FFFF0000"/>
        <rFont val="新細明體"/>
        <family val="1"/>
        <charset val="136"/>
      </rPr>
      <t>請準確及清楚填寫各項資料，所有超額報名、資料不全、錯填資料均被視為無效。無效報名會被拒參賽，報名費怒不退回。</t>
    </r>
    <phoneticPr fontId="5" type="noConversion"/>
  </si>
  <si>
    <r>
      <rPr>
        <b/>
        <sz val="12"/>
        <rFont val="新細明體"/>
        <family val="1"/>
        <charset val="136"/>
      </rPr>
      <t xml:space="preserve">2. </t>
    </r>
    <r>
      <rPr>
        <b/>
        <sz val="12"/>
        <color rgb="FFFF0000"/>
        <rFont val="新細明體"/>
        <family val="1"/>
        <charset val="136"/>
      </rPr>
      <t>請準確及清楚填寫各項資料，所有超額報名、資料不全、錯填資料均被視為無效。無效報名會被拒參賽，報名費怒不退回。</t>
    </r>
    <phoneticPr fontId="5" type="noConversion"/>
  </si>
  <si>
    <t>女運動員 27</t>
  </si>
  <si>
    <t>女運動員 28</t>
  </si>
  <si>
    <t>女運動員 29</t>
  </si>
  <si>
    <t>女運動員 30</t>
  </si>
  <si>
    <t>女運動員 31</t>
  </si>
  <si>
    <t>女運動員 32</t>
  </si>
  <si>
    <t>女運動員 33</t>
  </si>
  <si>
    <t>女運動員 34</t>
  </si>
  <si>
    <t>女甲 4X100米混合泳接力</t>
    <phoneticPr fontId="5" type="noConversion"/>
  </si>
  <si>
    <t>女乙 4X100米混合泳接力</t>
    <phoneticPr fontId="5" type="noConversion"/>
  </si>
  <si>
    <t>女甲 4X100米自由泳接力</t>
    <phoneticPr fontId="5" type="noConversion"/>
  </si>
  <si>
    <t>女乙 4X100米自由泳接力</t>
    <phoneticPr fontId="5" type="noConversion"/>
  </si>
  <si>
    <t>女甲 4X50米自由泳接力</t>
    <phoneticPr fontId="5" type="noConversion"/>
  </si>
  <si>
    <t>女乙 4X50米自由泳接力</t>
    <phoneticPr fontId="5" type="noConversion"/>
  </si>
  <si>
    <t>女甲 4X50米四式接力</t>
    <phoneticPr fontId="5" type="noConversion"/>
  </si>
  <si>
    <t>女乙 4X50米四式接力</t>
    <phoneticPr fontId="5" type="noConversion"/>
  </si>
  <si>
    <t>男運動員 3</t>
    <phoneticPr fontId="5" type="noConversion"/>
  </si>
  <si>
    <t>比賽名稱:</t>
    <phoneticPr fontId="5" type="noConversion"/>
  </si>
  <si>
    <t>比賽名稱</t>
    <phoneticPr fontId="5" type="noConversion"/>
  </si>
  <si>
    <t>比賽日期:</t>
    <phoneticPr fontId="5" type="noConversion"/>
  </si>
  <si>
    <t>比賽日期</t>
    <phoneticPr fontId="5" type="noConversion"/>
  </si>
  <si>
    <t>比賽地點:</t>
    <phoneticPr fontId="5" type="noConversion"/>
  </si>
  <si>
    <t>比賽地點</t>
    <phoneticPr fontId="5" type="noConversion"/>
  </si>
  <si>
    <t>備註</t>
    <phoneticPr fontId="5" type="noConversion"/>
  </si>
  <si>
    <t>新秀1</t>
    <phoneticPr fontId="5" type="noConversion"/>
  </si>
  <si>
    <t>新秀2</t>
  </si>
  <si>
    <t>年齡</t>
    <phoneticPr fontId="5" type="noConversion"/>
  </si>
  <si>
    <t>報項時間</t>
    <phoneticPr fontId="5" type="noConversion"/>
  </si>
  <si>
    <t>達標時間</t>
    <phoneticPr fontId="5" type="noConversion"/>
  </si>
  <si>
    <t>周年(長池)游泳錦標賽</t>
    <phoneticPr fontId="5" type="noConversion"/>
  </si>
  <si>
    <t>周年(短池)游泳錦標賽</t>
    <phoneticPr fontId="5" type="noConversion"/>
  </si>
  <si>
    <t>中山公園游泳池</t>
    <phoneticPr fontId="5" type="noConversion"/>
  </si>
  <si>
    <t>城門谷游泳池</t>
    <phoneticPr fontId="5" type="noConversion"/>
  </si>
  <si>
    <t>屬會新秀游泳比賽(第一天)</t>
    <phoneticPr fontId="5" type="noConversion"/>
  </si>
  <si>
    <t>屬會新秀游泳比賽(第二天)</t>
    <phoneticPr fontId="5" type="noConversion"/>
  </si>
  <si>
    <t>周年</t>
    <phoneticPr fontId="5" type="noConversion"/>
  </si>
  <si>
    <t>A</t>
    <phoneticPr fontId="5" type="noConversion"/>
  </si>
  <si>
    <t>B</t>
    <phoneticPr fontId="5" type="noConversion"/>
  </si>
  <si>
    <t>C</t>
    <phoneticPr fontId="5" type="noConversion"/>
  </si>
  <si>
    <t>D</t>
    <phoneticPr fontId="5" type="noConversion"/>
  </si>
  <si>
    <r>
      <t>A</t>
    </r>
    <r>
      <rPr>
        <sz val="12"/>
        <color indexed="8"/>
        <rFont val="新細明體"/>
        <family val="1"/>
        <charset val="136"/>
      </rPr>
      <t>ge Check</t>
    </r>
    <phoneticPr fontId="5" type="noConversion"/>
  </si>
  <si>
    <t>新秀賽3項</t>
    <phoneticPr fontId="5" type="noConversion"/>
  </si>
  <si>
    <t>項目編號</t>
    <phoneticPr fontId="5" type="noConversion"/>
  </si>
  <si>
    <r>
      <t>15</t>
    </r>
    <r>
      <rPr>
        <sz val="12"/>
        <color indexed="8"/>
        <rFont val="新細明體"/>
        <family val="1"/>
        <charset val="136"/>
      </rPr>
      <t>U</t>
    </r>
    <phoneticPr fontId="5" type="noConversion"/>
  </si>
  <si>
    <r>
      <rPr>
        <sz val="14"/>
        <rFont val="Arial"/>
        <family val="2"/>
      </rPr>
      <t>2023</t>
    </r>
    <r>
      <rPr>
        <sz val="14"/>
        <rFont val="標楷體"/>
        <family val="4"/>
        <charset val="136"/>
      </rPr>
      <t>年度屬會泳員註冊表</t>
    </r>
    <r>
      <rPr>
        <sz val="14"/>
        <rFont val="Arial"/>
        <family val="2"/>
      </rPr>
      <t xml:space="preserve"> (</t>
    </r>
    <r>
      <rPr>
        <sz val="14"/>
        <rFont val="標楷體"/>
        <family val="4"/>
        <charset val="136"/>
      </rPr>
      <t>電子版本</t>
    </r>
    <r>
      <rPr>
        <sz val="14"/>
        <rFont val="Arial"/>
        <family val="2"/>
      </rPr>
      <t>)</t>
    </r>
    <phoneticPr fontId="5" type="noConversion"/>
  </si>
  <si>
    <t>項目</t>
    <phoneticPr fontId="5" type="noConversion"/>
  </si>
  <si>
    <t>Events</t>
    <phoneticPr fontId="5" type="noConversion"/>
  </si>
  <si>
    <t>女甲 100米蛙泳</t>
  </si>
  <si>
    <t>女甲 100米蝶泳</t>
  </si>
  <si>
    <t>女乙 100米蝶泳</t>
  </si>
  <si>
    <t>男乙 100米蝶泳</t>
  </si>
  <si>
    <t>女甲 50米自由泳</t>
  </si>
  <si>
    <t>男甲 50米自由泳</t>
  </si>
  <si>
    <t>女乙 50米自由泳</t>
  </si>
  <si>
    <t>男乙 50米自由泳</t>
  </si>
  <si>
    <t>女甲 4X50米自由泳接力</t>
  </si>
  <si>
    <t>女甲 100米個人混合泳</t>
  </si>
  <si>
    <t>男甲 100米個人混合泳</t>
  </si>
  <si>
    <t>女乙 100米個人混合泳</t>
  </si>
  <si>
    <t>男乙 100米個人混合泳</t>
  </si>
  <si>
    <t>女甲 50米背泳</t>
  </si>
  <si>
    <t>男甲 50米背泳</t>
  </si>
  <si>
    <t>女乙 50米背泳</t>
  </si>
  <si>
    <t>男乙 50米背泳</t>
  </si>
  <si>
    <t>男甲 100米蛙泳</t>
  </si>
  <si>
    <t>女乙 100米蛙泳</t>
  </si>
  <si>
    <t>男乙 100米蛙泳</t>
  </si>
  <si>
    <t>女甲 50米蝶泳</t>
  </si>
  <si>
    <t>男甲 50米蝶泳</t>
  </si>
  <si>
    <t>女乙 50米蝶泳</t>
  </si>
  <si>
    <t>男乙 50米蝶泳</t>
  </si>
  <si>
    <t>女甲 100米自由泳</t>
  </si>
  <si>
    <t>男甲 100米自由泳</t>
  </si>
  <si>
    <t>女乙 100米自由泳</t>
  </si>
  <si>
    <t>男乙 100米自由泳</t>
  </si>
  <si>
    <t>女甲 4X50米四式接力</t>
  </si>
  <si>
    <t>女乙 4X50米四式接力</t>
  </si>
  <si>
    <t>女甲 100米背泳</t>
  </si>
  <si>
    <t>男甲 100米背泳</t>
  </si>
  <si>
    <t>女乙 100米背泳</t>
  </si>
  <si>
    <t>男乙 100米背泳</t>
  </si>
  <si>
    <t>女甲 50米蛙泳</t>
  </si>
  <si>
    <t>男甲 50米蛙泳</t>
  </si>
  <si>
    <t>女乙 50米蛙泳</t>
  </si>
  <si>
    <t>男乙 50米蛙泳</t>
  </si>
  <si>
    <t>男甲 100米蝶泳</t>
  </si>
  <si>
    <t>女乙 4X50米自由泳接力</t>
  </si>
  <si>
    <t>男運動員 35</t>
  </si>
  <si>
    <t>女運動員 35</t>
  </si>
  <si>
    <r>
      <t>1. 請根據所屬性別分別填寫在指定的報名表上(報名表分為男，女)，</t>
    </r>
    <r>
      <rPr>
        <b/>
        <sz val="12"/>
        <color rgb="FFFF0000"/>
        <rFont val="新細明體"/>
        <family val="1"/>
        <charset val="136"/>
      </rPr>
      <t>接力在報名表上方</t>
    </r>
    <r>
      <rPr>
        <b/>
        <sz val="12"/>
        <color indexed="8"/>
        <rFont val="新細明體"/>
        <family val="1"/>
        <charset val="136"/>
      </rPr>
      <t>，只需按比賽項目輸入報項時間便可</t>
    </r>
    <phoneticPr fontId="5" type="noConversion"/>
  </si>
  <si>
    <t>週年賽4項</t>
    <phoneticPr fontId="5" type="noConversion"/>
  </si>
  <si>
    <t>4. 時間格式以此為準 - 例: 0:26:88 , 請輸入 2688</t>
    <phoneticPr fontId="5" type="noConversion"/>
  </si>
  <si>
    <r>
      <t>6. 若儲存格出現</t>
    </r>
    <r>
      <rPr>
        <b/>
        <sz val="12"/>
        <color rgb="FFFF0000"/>
        <rFont val="新細明體"/>
        <family val="1"/>
        <charset val="136"/>
      </rPr>
      <t>紅色</t>
    </r>
    <r>
      <rPr>
        <b/>
        <sz val="12"/>
        <color indexed="8"/>
        <rFont val="新細明體"/>
        <family val="1"/>
        <charset val="136"/>
      </rPr>
      <t>，請重新檢查該項目是否報錯資料。</t>
    </r>
    <phoneticPr fontId="5" type="noConversion"/>
  </si>
  <si>
    <r>
      <t>5. 只需輸入</t>
    </r>
    <r>
      <rPr>
        <b/>
        <sz val="12"/>
        <color rgb="FF00B050"/>
        <rFont val="新細明體"/>
        <family val="1"/>
        <charset val="136"/>
      </rPr>
      <t>綠色</t>
    </r>
    <r>
      <rPr>
        <b/>
        <sz val="12"/>
        <color indexed="8"/>
        <rFont val="新細明體"/>
        <family val="1"/>
        <charset val="136"/>
      </rPr>
      <t>欄位的資料，其他為自動填寫資料。</t>
    </r>
    <phoneticPr fontId="5" type="noConversion"/>
  </si>
  <si>
    <t>7,23/7/2023</t>
    <phoneticPr fontId="5" type="noConversion"/>
  </si>
  <si>
    <t>大環山游泳池</t>
    <phoneticPr fontId="5" type="noConversion"/>
  </si>
  <si>
    <t xml:space="preserve">100米背泳 </t>
    <phoneticPr fontId="5" type="noConversion"/>
  </si>
  <si>
    <t>100米蛙泳</t>
    <phoneticPr fontId="5" type="noConversion"/>
  </si>
  <si>
    <t>50米蝶泳</t>
  </si>
  <si>
    <t>50米蝶泳</t>
    <phoneticPr fontId="5" type="noConversion"/>
  </si>
  <si>
    <t xml:space="preserve">50米自由泳 </t>
  </si>
  <si>
    <t xml:space="preserve">50米自由泳 </t>
    <phoneticPr fontId="5" type="noConversion"/>
  </si>
  <si>
    <t>50米背泳</t>
  </si>
  <si>
    <t>50米蛙泳</t>
  </si>
  <si>
    <t>100米蝶泳</t>
  </si>
  <si>
    <t xml:space="preserve">100米蝶泳 </t>
  </si>
  <si>
    <t>100米自由泳</t>
  </si>
  <si>
    <t xml:space="preserve">4X50米四式接力 </t>
  </si>
  <si>
    <t xml:space="preserve">4X50米自由泳接力 </t>
  </si>
  <si>
    <t>申請成績証書</t>
    <phoneticPr fontId="5" type="noConversion"/>
  </si>
  <si>
    <t>Y</t>
    <phoneticPr fontId="5" type="noConversion"/>
  </si>
  <si>
    <t>總收費</t>
    <phoneticPr fontId="5" type="noConversion"/>
  </si>
  <si>
    <t>$40.00</t>
    <phoneticPr fontId="5" type="noConversion"/>
  </si>
  <si>
    <t>7D</t>
    <phoneticPr fontId="5" type="noConversion"/>
  </si>
  <si>
    <t>欄1</t>
  </si>
  <si>
    <t>女甲 200米自由泳</t>
  </si>
  <si>
    <t>女乙 200米自由泳</t>
  </si>
  <si>
    <t>男甲 200米蛙泳</t>
  </si>
  <si>
    <t>男乙 200米蛙泳</t>
  </si>
  <si>
    <t>女甲 200米背泳</t>
  </si>
  <si>
    <t>男甲 200米蝶泳</t>
  </si>
  <si>
    <t>女甲 200米個人混合泳</t>
  </si>
  <si>
    <t>男甲 400米自由泳</t>
  </si>
  <si>
    <t>女乙 200米個人混合泳</t>
  </si>
  <si>
    <t>男乙 400米自由泳</t>
  </si>
  <si>
    <t>女甲 4X100米混合泳接力</t>
  </si>
  <si>
    <t>女乙 4X100米混合泳接力</t>
  </si>
  <si>
    <t>男甲 200米自由泳</t>
  </si>
  <si>
    <t>男乙 200米自由泳</t>
  </si>
  <si>
    <t>女甲 200米蛙泳</t>
  </si>
  <si>
    <t>女乙 200米蛙泳</t>
  </si>
  <si>
    <t>女甲 200米蝶泳</t>
  </si>
  <si>
    <t>男甲 200米背泳</t>
  </si>
  <si>
    <t>女甲 400米自由泳</t>
  </si>
  <si>
    <t>男甲 200米個人混合泳</t>
  </si>
  <si>
    <t>女乙 400米自由泳</t>
  </si>
  <si>
    <t>男乙 200米個人混合泳</t>
  </si>
  <si>
    <t>女甲 4X100米自由泳接力</t>
  </si>
  <si>
    <t>女乙 4X100米自由泳接力</t>
  </si>
  <si>
    <t>C</t>
  </si>
  <si>
    <t>A</t>
  </si>
  <si>
    <t>D</t>
  </si>
  <si>
    <t>B</t>
  </si>
  <si>
    <t>申請成績證書</t>
    <phoneticPr fontId="5" type="noConversion"/>
  </si>
  <si>
    <t>7. 如需申請成績證書，請在"申請成績證書"格上填上"Y"，若不申請可漏空。比賽後申請成績證書，本會將額外收取每張港元10元行政費(即每項每張港元共50元行政費)</t>
    <phoneticPr fontId="5" type="noConversion"/>
  </si>
  <si>
    <t>成績證書行政費</t>
    <phoneticPr fontId="5" type="noConversion"/>
  </si>
  <si>
    <t>A</t>
    <phoneticPr fontId="5" type="noConversion"/>
  </si>
  <si>
    <r>
      <t xml:space="preserve">Google sheet </t>
    </r>
    <r>
      <rPr>
        <u/>
        <sz val="10"/>
        <color theme="10"/>
        <rFont val="微軟正黑體"/>
        <family val="2"/>
        <charset val="136"/>
      </rPr>
      <t>報名連結</t>
    </r>
    <phoneticPr fontId="5" type="noConversion"/>
  </si>
  <si>
    <t>領取證書方式:</t>
    <phoneticPr fontId="28" type="noConversion"/>
  </si>
  <si>
    <t>郵寄地址:</t>
    <phoneticPr fontId="28" type="noConversion"/>
  </si>
  <si>
    <t>順豐到付(費用在取件時支付)</t>
    <phoneticPr fontId="28" type="noConversion"/>
  </si>
  <si>
    <t>郵政平郵(郵費由本會支付)</t>
    <phoneticPr fontId="28" type="noConversion"/>
  </si>
  <si>
    <t>3. 請盡量使用Microsoft Excel填寫報名表，以獲得最佳效果。表格內所有提示只供參考。</t>
    <phoneticPr fontId="5" type="noConversion"/>
  </si>
  <si>
    <t>第一屆嶺南杯少年游泳分齡邀請賽</t>
    <phoneticPr fontId="5" type="noConversion"/>
  </si>
  <si>
    <t>嶺南杯</t>
    <phoneticPr fontId="5" type="noConversion"/>
  </si>
  <si>
    <t>9U</t>
    <phoneticPr fontId="5" type="noConversion"/>
  </si>
  <si>
    <r>
      <t>O</t>
    </r>
    <r>
      <rPr>
        <sz val="12"/>
        <color indexed="8"/>
        <rFont val="新細明體"/>
        <family val="1"/>
        <charset val="136"/>
      </rPr>
      <t>pen</t>
    </r>
    <phoneticPr fontId="5" type="noConversion"/>
  </si>
  <si>
    <t>3項</t>
    <phoneticPr fontId="5" type="noConversion"/>
  </si>
  <si>
    <t>男女子混合4X50米四式接力</t>
    <phoneticPr fontId="5" type="noConversion"/>
  </si>
  <si>
    <t>男甲 4X100米自由泳接力</t>
    <phoneticPr fontId="5" type="noConversion"/>
  </si>
  <si>
    <r>
      <t>男女子混合4x50米</t>
    </r>
    <r>
      <rPr>
        <sz val="12"/>
        <color indexed="8"/>
        <rFont val="新細明體"/>
        <family val="1"/>
        <charset val="136"/>
      </rPr>
      <t>自由泳接力</t>
    </r>
    <phoneticPr fontId="5" type="noConversion"/>
  </si>
  <si>
    <t>女子9歲及以下50米自由泳</t>
  </si>
  <si>
    <t>女子10歲50米自由泳</t>
  </si>
  <si>
    <t>女子11歲50米自由泳</t>
  </si>
  <si>
    <t>女子12歲50米自由泳</t>
  </si>
  <si>
    <t>女子13歲50米自由泳</t>
  </si>
  <si>
    <t>女子9歲及以下50米背泳</t>
  </si>
  <si>
    <t>女子10歲50米背泳</t>
  </si>
  <si>
    <t>女子11歲50米背泳</t>
  </si>
  <si>
    <t>女子12歲50米背泳</t>
  </si>
  <si>
    <t>女子13歲50米背泳</t>
  </si>
  <si>
    <t>女子9歲及以下100米蛙泳</t>
  </si>
  <si>
    <t>女子10歲100米蛙泳</t>
  </si>
  <si>
    <t>女子11歲100米蛙泳</t>
  </si>
  <si>
    <t>女子12歲100米蛙泳</t>
  </si>
  <si>
    <t>女子13歲100米蛙泳</t>
  </si>
  <si>
    <t>女子9歲及以下100米蝶泳</t>
  </si>
  <si>
    <t>女子10歲100米蝶泳</t>
  </si>
  <si>
    <t>女子11歲100米蝶泳</t>
  </si>
  <si>
    <t>女子12歲100米蝶泳</t>
  </si>
  <si>
    <t>女子13歲100米蝶泳</t>
  </si>
  <si>
    <t>男子9歲及以下50米自由泳</t>
  </si>
  <si>
    <t>男子10歲50米自由泳</t>
  </si>
  <si>
    <t>男子11歲50米自由泳</t>
  </si>
  <si>
    <t>男子12歲50米自由泳</t>
  </si>
  <si>
    <t>男子13歲50米自由泳</t>
  </si>
  <si>
    <t>男子9歲及以下50米背泳</t>
  </si>
  <si>
    <t>男子10歲50米背泳</t>
  </si>
  <si>
    <t>男子11歲50米背泳</t>
  </si>
  <si>
    <t>男子12歲50米背泳</t>
  </si>
  <si>
    <t>男子13歲50米背泳</t>
  </si>
  <si>
    <t>男子9歲及以下100米蛙泳</t>
  </si>
  <si>
    <t>男子10歲100米蛙泳</t>
  </si>
  <si>
    <t>男子11歲100米蛙泳</t>
  </si>
  <si>
    <t>男子12歲100米蛙泳</t>
  </si>
  <si>
    <t>男子13歲100米蛙泳</t>
  </si>
  <si>
    <t>男子9歲及以下100米蝶泳</t>
  </si>
  <si>
    <t>男子10歲100米蝶泳</t>
  </si>
  <si>
    <t>男子11歲100米蝶泳</t>
  </si>
  <si>
    <t>男子12歲100米蝶泳</t>
  </si>
  <si>
    <t>男子13歲100米蝶泳</t>
  </si>
  <si>
    <t>女子9歲及以下100米自由泳</t>
  </si>
  <si>
    <t>女子10歲100米自由泳</t>
  </si>
  <si>
    <t>女子11歲100米自由泳</t>
  </si>
  <si>
    <t>女子12歲100米自由泳</t>
  </si>
  <si>
    <t>女子13歲100米自由泳</t>
  </si>
  <si>
    <t>女子9歲及以下100米背泳</t>
  </si>
  <si>
    <t>女子10歲100米背泳</t>
  </si>
  <si>
    <t>女子11歲100米背泳</t>
  </si>
  <si>
    <t>女子12歲100米背泳</t>
  </si>
  <si>
    <t>女子13歲100米背泳</t>
  </si>
  <si>
    <t>女子9歲及以下50米蛙泳</t>
  </si>
  <si>
    <t>女子10歲50米蛙泳</t>
  </si>
  <si>
    <t>女子11歲50米蛙泳</t>
  </si>
  <si>
    <t>女子12歲50米蛙泳</t>
  </si>
  <si>
    <t>女子13歲50米蛙泳</t>
  </si>
  <si>
    <t>女子9歲及以下50米蝶泳</t>
  </si>
  <si>
    <t>女子10歲50米蝶泳</t>
  </si>
  <si>
    <t>女子11歲50米蝶泳</t>
  </si>
  <si>
    <t>女子12歲50米蝶泳</t>
  </si>
  <si>
    <t>女子13歲50米蝶泳</t>
  </si>
  <si>
    <t>男子9歲及以下100米自由泳</t>
  </si>
  <si>
    <t>男子10歲100米自由泳</t>
  </si>
  <si>
    <t>男子11歲100米自由泳</t>
  </si>
  <si>
    <t>男子12歲100米自由泳</t>
  </si>
  <si>
    <t>男子13歲100米自由泳</t>
  </si>
  <si>
    <t>男子9歲及以下100米背泳</t>
  </si>
  <si>
    <t>男子10歲100米背泳</t>
  </si>
  <si>
    <t>男子11歲100米背泳</t>
  </si>
  <si>
    <t>男子12歲100米背泳</t>
  </si>
  <si>
    <t>男子13歲100米背泳</t>
  </si>
  <si>
    <t>男子9歲及以下50米蛙泳</t>
  </si>
  <si>
    <t>男子10歲50米蛙泳</t>
  </si>
  <si>
    <t>男子11歲50米蛙泳</t>
  </si>
  <si>
    <t>男子12歲50米蛙泳</t>
  </si>
  <si>
    <t>男子13歲50米蛙泳</t>
  </si>
  <si>
    <t>男子9歲及以下50米蝶泳</t>
  </si>
  <si>
    <t>男子10歲50米蝶泳</t>
  </si>
  <si>
    <t>男子11歲50米蝶泳</t>
  </si>
  <si>
    <t>男子12歲50米蝶泳</t>
  </si>
  <si>
    <t>男子13歲50米蝶泳</t>
  </si>
  <si>
    <t>團體名稱:</t>
    <phoneticPr fontId="5" type="noConversion"/>
  </si>
  <si>
    <r>
      <t>M</t>
    </r>
    <r>
      <rPr>
        <sz val="12"/>
        <color indexed="8"/>
        <rFont val="新細明體"/>
        <family val="1"/>
        <charset val="136"/>
      </rPr>
      <t>ax Event per club</t>
    </r>
    <phoneticPr fontId="5" type="noConversion"/>
  </si>
  <si>
    <t>Fee (Ind)</t>
    <phoneticPr fontId="5" type="noConversion"/>
  </si>
  <si>
    <r>
      <t>F</t>
    </r>
    <r>
      <rPr>
        <sz val="12"/>
        <color indexed="8"/>
        <rFont val="新細明體"/>
        <family val="1"/>
        <charset val="136"/>
      </rPr>
      <t>ee (Relay)</t>
    </r>
    <phoneticPr fontId="5" type="noConversion"/>
  </si>
  <si>
    <t>E</t>
    <phoneticPr fontId="5" type="noConversion"/>
  </si>
  <si>
    <t>F</t>
    <phoneticPr fontId="5" type="noConversion"/>
  </si>
  <si>
    <t>女丙 50米蛙泳</t>
    <phoneticPr fontId="28" type="noConversion"/>
  </si>
  <si>
    <t>男丙 50米蛙泳</t>
    <phoneticPr fontId="28" type="noConversion"/>
  </si>
  <si>
    <t>女丙 50米自由泳</t>
    <phoneticPr fontId="28" type="noConversion"/>
  </si>
  <si>
    <t>男丙 50米自由泳</t>
    <phoneticPr fontId="28" type="noConversion"/>
  </si>
  <si>
    <t>女丙 4X50米自由泳接力</t>
    <phoneticPr fontId="28" type="noConversion"/>
  </si>
  <si>
    <t>男丙 4X50米自由泳接力</t>
    <phoneticPr fontId="28" type="noConversion"/>
  </si>
  <si>
    <t>女丙 50米背泳</t>
    <phoneticPr fontId="28" type="noConversion"/>
  </si>
  <si>
    <t>男丙 50米背泳</t>
    <phoneticPr fontId="28" type="noConversion"/>
  </si>
  <si>
    <t>女丙 50米蝶泳</t>
    <phoneticPr fontId="28" type="noConversion"/>
  </si>
  <si>
    <t>男丙 50米蝶泳</t>
    <phoneticPr fontId="28" type="noConversion"/>
  </si>
  <si>
    <t>F</t>
    <phoneticPr fontId="28" type="noConversion"/>
  </si>
  <si>
    <t>E</t>
    <phoneticPr fontId="28" type="noConversion"/>
  </si>
  <si>
    <t>男丙 4X50米自由泳接力</t>
  </si>
  <si>
    <t>F</t>
    <phoneticPr fontId="5" type="noConversion"/>
  </si>
  <si>
    <t>E</t>
    <phoneticPr fontId="5" type="noConversion"/>
  </si>
  <si>
    <t>周年(短池)游泳錦標賽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</si>
</sst>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&quot;$&quot;#,##0.00_);[Red]\(&quot;$&quot;#,##0.00\)"/>
    <numFmt numFmtId="177" formatCode="0&quot;:&quot;00&quot;.&quot;00"/>
    <numFmt numFmtId="178" formatCode="[h]:mm:ss;@"/>
    <numFmt numFmtId="179" formatCode="yyyy/mm/dd;@"/>
    <numFmt numFmtId="180" formatCode="0_ "/>
    <numFmt numFmtId="181" formatCode="0_);[Red]\(0\)"/>
    <numFmt numFmtId="182" formatCode="yyyy&quot;年&quot;m&quot;月&quot;d&quot;日&quot;;@"/>
  </numFmts>
  <fonts count="32">
    <font>
      <sz val="12"/>
      <color indexed="8"/>
      <name val="新細明體"/>
    </font>
    <font>
      <sz val="12"/>
      <color theme="1"/>
      <name val="Helvetica Neue"/>
      <family val="2"/>
      <charset val="136"/>
      <scheme val="minor"/>
    </font>
    <font>
      <sz val="12"/>
      <color theme="1"/>
      <name val="Helvetica Neue"/>
      <family val="2"/>
      <charset val="136"/>
      <scheme val="minor"/>
    </font>
    <font>
      <sz val="12"/>
      <color indexed="8"/>
      <name val="Times New Roman"/>
      <family val="1"/>
    </font>
    <font>
      <sz val="12"/>
      <color indexed="8"/>
      <name val="新細明體"/>
      <family val="1"/>
      <charset val="136"/>
    </font>
    <font>
      <sz val="9"/>
      <name val="細明體"/>
      <family val="3"/>
      <charset val="136"/>
    </font>
    <font>
      <sz val="12"/>
      <color theme="1"/>
      <name val="細明體"/>
      <family val="3"/>
      <charset val="136"/>
    </font>
    <font>
      <sz val="20"/>
      <color indexed="8"/>
      <name val="新細明體"/>
      <family val="1"/>
      <charset val="136"/>
    </font>
    <font>
      <b/>
      <sz val="12"/>
      <color indexed="8"/>
      <name val="新細明體"/>
      <family val="1"/>
      <charset val="136"/>
    </font>
    <font>
      <b/>
      <sz val="28"/>
      <color indexed="8"/>
      <name val="新細明體"/>
      <family val="1"/>
      <charset val="136"/>
    </font>
    <font>
      <sz val="12"/>
      <color theme="1"/>
      <name val="Helvetica Neue"/>
      <family val="1"/>
      <charset val="136"/>
      <scheme val="minor"/>
    </font>
    <font>
      <b/>
      <sz val="12"/>
      <color rgb="FFFF0000"/>
      <name val="新細明體"/>
      <family val="1"/>
      <charset val="136"/>
    </font>
    <font>
      <sz val="10"/>
      <name val="Arial"/>
      <family val="2"/>
    </font>
    <font>
      <sz val="26"/>
      <name val="標楷體"/>
      <family val="4"/>
      <charset val="136"/>
    </font>
    <font>
      <sz val="14"/>
      <name val="標楷體"/>
      <family val="4"/>
      <charset val="136"/>
    </font>
    <font>
      <u/>
      <sz val="12"/>
      <color indexed="12"/>
      <name val="Arial"/>
      <family val="2"/>
    </font>
    <font>
      <u/>
      <sz val="12"/>
      <color indexed="12"/>
      <name val="標楷體"/>
      <family val="4"/>
      <charset val="136"/>
    </font>
    <font>
      <sz val="14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sz val="12"/>
      <name val="Arial"/>
      <family val="2"/>
    </font>
    <font>
      <sz val="14"/>
      <name val="新細明體"/>
      <family val="1"/>
      <charset val="136"/>
    </font>
    <font>
      <b/>
      <sz val="12"/>
      <name val="新細明體"/>
      <family val="1"/>
      <charset val="136"/>
    </font>
    <font>
      <sz val="14"/>
      <name val="標楷體"/>
      <family val="2"/>
      <charset val="136"/>
    </font>
    <font>
      <b/>
      <sz val="12"/>
      <name val="Microsoft JhengHei"/>
      <family val="2"/>
    </font>
    <font>
      <b/>
      <sz val="12"/>
      <color theme="1"/>
      <name val="Microsoft JhengHei"/>
      <family val="2"/>
      <charset val="136"/>
    </font>
    <font>
      <b/>
      <sz val="12"/>
      <color rgb="FF00B050"/>
      <name val="新細明體"/>
      <family val="1"/>
      <charset val="136"/>
    </font>
    <font>
      <u/>
      <sz val="10"/>
      <color theme="10"/>
      <name val="微軟正黑體"/>
      <family val="2"/>
      <charset val="136"/>
    </font>
    <font>
      <sz val="9"/>
      <name val="Helvetica Neue"/>
      <family val="2"/>
      <charset val="136"/>
      <scheme val="minor"/>
    </font>
    <font>
      <sz val="12"/>
      <color indexed="8"/>
      <name val="Calibri"/>
      <family val="2"/>
    </font>
    <font>
      <sz val="11"/>
      <color indexed="8"/>
      <name val="微軟正黑體"/>
      <family val="2"/>
      <charset val="136"/>
    </font>
    <font>
      <sz val="11"/>
      <color indexed="8"/>
      <name val="新細明體"/>
      <family val="1"/>
      <charset val="136"/>
    </font>
  </fonts>
  <fills count="11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9">
    <xf numFmtId="0" fontId="0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178" fontId="2" fillId="0" borderId="5">
      <alignment horizontal="right" vertical="center"/>
    </xf>
    <xf numFmtId="0" fontId="12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178" fontId="1" fillId="0" borderId="5">
      <alignment horizontal="right" vertical="center"/>
    </xf>
  </cellStyleXfs>
  <cellXfs count="215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Border="1">
      <alignment vertical="center"/>
    </xf>
    <xf numFmtId="0" fontId="0" fillId="0" borderId="0" xfId="0" applyNumberFormat="1" applyBorder="1">
      <alignment vertical="center"/>
    </xf>
    <xf numFmtId="0" fontId="6" fillId="0" borderId="5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alignment vertical="center"/>
    </xf>
    <xf numFmtId="0" fontId="0" fillId="0" borderId="0" xfId="0" applyNumberFormat="1" applyProtection="1">
      <alignment vertical="center"/>
    </xf>
    <xf numFmtId="49" fontId="0" fillId="0" borderId="5" xfId="0" applyNumberFormat="1" applyBorder="1" applyAlignment="1" applyProtection="1">
      <alignment horizontal="center" vertical="center"/>
    </xf>
    <xf numFmtId="49" fontId="0" fillId="0" borderId="0" xfId="0" applyNumberFormat="1" applyBorder="1" applyAlignment="1" applyProtection="1">
      <alignment horizontal="right" vertical="center"/>
    </xf>
    <xf numFmtId="0" fontId="0" fillId="0" borderId="5" xfId="0" applyBorder="1" applyProtection="1">
      <alignment vertical="center"/>
    </xf>
    <xf numFmtId="49" fontId="4" fillId="0" borderId="5" xfId="0" applyNumberFormat="1" applyFont="1" applyBorder="1" applyAlignment="1" applyProtection="1">
      <alignment horizontal="center" vertical="center"/>
    </xf>
    <xf numFmtId="49" fontId="0" fillId="0" borderId="4" xfId="0" applyNumberFormat="1" applyBorder="1" applyAlignment="1" applyProtection="1">
      <alignment horizontal="center" vertical="center"/>
    </xf>
    <xf numFmtId="0" fontId="0" fillId="0" borderId="4" xfId="0" applyNumberFormat="1" applyBorder="1" applyAlignment="1" applyProtection="1">
      <alignment horizontal="center" vertical="center"/>
    </xf>
    <xf numFmtId="177" fontId="0" fillId="0" borderId="4" xfId="0" applyNumberFormat="1" applyBorder="1" applyAlignment="1" applyProtection="1">
      <alignment horizontal="center" vertical="center"/>
    </xf>
    <xf numFmtId="0" fontId="4" fillId="0" borderId="5" xfId="0" applyNumberFormat="1" applyFont="1" applyBorder="1" applyAlignment="1" applyProtection="1">
      <alignment horizontal="center" vertical="center"/>
    </xf>
    <xf numFmtId="0" fontId="0" fillId="0" borderId="5" xfId="0" applyNumberFormat="1" applyBorder="1" applyAlignment="1" applyProtection="1">
      <alignment horizontal="center" vertical="center"/>
    </xf>
    <xf numFmtId="0" fontId="0" fillId="0" borderId="0" xfId="0" applyProtection="1">
      <alignment vertical="center"/>
    </xf>
    <xf numFmtId="49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49" fontId="4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49" fontId="0" fillId="0" borderId="0" xfId="0" applyNumberFormat="1" applyBorder="1" applyProtection="1">
      <alignment vertical="center"/>
    </xf>
    <xf numFmtId="176" fontId="0" fillId="0" borderId="0" xfId="0" applyNumberFormat="1" applyBorder="1" applyAlignment="1" applyProtection="1">
      <alignment horizontal="center" vertical="center"/>
    </xf>
    <xf numFmtId="0" fontId="12" fillId="0" borderId="0" xfId="5"/>
    <xf numFmtId="0" fontId="14" fillId="0" borderId="0" xfId="5" applyFont="1" applyAlignment="1">
      <alignment horizontal="center"/>
    </xf>
    <xf numFmtId="0" fontId="20" fillId="0" borderId="0" xfId="5" applyFont="1" applyAlignment="1">
      <alignment horizontal="center"/>
    </xf>
    <xf numFmtId="0" fontId="4" fillId="0" borderId="0" xfId="0" applyFont="1">
      <alignment vertical="center"/>
    </xf>
    <xf numFmtId="0" fontId="13" fillId="0" borderId="0" xfId="5" applyFont="1"/>
    <xf numFmtId="0" fontId="19" fillId="0" borderId="0" xfId="6" applyFont="1" applyAlignment="1" applyProtection="1"/>
    <xf numFmtId="0" fontId="14" fillId="0" borderId="0" xfId="5" applyFont="1"/>
    <xf numFmtId="0" fontId="14" fillId="8" borderId="0" xfId="5" applyFont="1" applyFill="1" applyAlignment="1">
      <alignment horizontal="center"/>
    </xf>
    <xf numFmtId="0" fontId="14" fillId="8" borderId="5" xfId="5" applyFont="1" applyFill="1" applyBorder="1" applyAlignment="1">
      <alignment horizontal="center"/>
    </xf>
    <xf numFmtId="0" fontId="8" fillId="4" borderId="0" xfId="0" applyFont="1" applyFill="1" applyBorder="1" applyAlignment="1" applyProtection="1">
      <alignment horizontal="left" vertical="center"/>
    </xf>
    <xf numFmtId="49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4" xfId="1" applyNumberFormat="1" applyBorder="1" applyAlignment="1" applyProtection="1">
      <alignment horizontal="center" vertical="center"/>
    </xf>
    <xf numFmtId="0" fontId="4" fillId="3" borderId="1" xfId="1" applyNumberFormat="1" applyFill="1" applyBorder="1" applyAlignment="1" applyProtection="1">
      <alignment horizontal="center" vertical="center"/>
      <protection locked="0"/>
    </xf>
    <xf numFmtId="0" fontId="4" fillId="4" borderId="1" xfId="1" applyNumberFormat="1" applyFill="1" applyBorder="1" applyAlignment="1" applyProtection="1">
      <alignment horizontal="center" vertical="center"/>
      <protection locked="0"/>
    </xf>
    <xf numFmtId="0" fontId="0" fillId="0" borderId="0" xfId="0" applyFill="1" applyProtection="1">
      <alignment vertical="center"/>
    </xf>
    <xf numFmtId="0" fontId="0" fillId="0" borderId="0" xfId="0" applyAlignment="1" applyProtection="1">
      <alignment horizontal="center" vertical="center"/>
    </xf>
    <xf numFmtId="177" fontId="0" fillId="3" borderId="1" xfId="0" applyNumberFormat="1" applyFill="1" applyBorder="1" applyAlignment="1" applyProtection="1">
      <alignment horizontal="center" vertical="center"/>
      <protection locked="0"/>
    </xf>
    <xf numFmtId="177" fontId="0" fillId="4" borderId="1" xfId="0" applyNumberFormat="1" applyFill="1" applyBorder="1" applyAlignment="1" applyProtection="1">
      <alignment horizontal="center" vertical="center"/>
      <protection locked="0"/>
    </xf>
    <xf numFmtId="0" fontId="0" fillId="3" borderId="4" xfId="0" applyNumberFormat="1" applyFill="1" applyBorder="1" applyAlignment="1" applyProtection="1">
      <alignment horizontal="center" vertical="center"/>
      <protection locked="0"/>
    </xf>
    <xf numFmtId="0" fontId="0" fillId="4" borderId="4" xfId="0" applyNumberFormat="1" applyFill="1" applyBorder="1" applyAlignment="1" applyProtection="1">
      <alignment horizontal="center" vertical="center"/>
      <protection locked="0"/>
    </xf>
    <xf numFmtId="181" fontId="0" fillId="0" borderId="0" xfId="0" applyNumberFormat="1" applyBorder="1" applyAlignment="1" applyProtection="1">
      <alignment horizontal="left" vertical="center"/>
    </xf>
    <xf numFmtId="0" fontId="20" fillId="0" borderId="5" xfId="5" applyFont="1" applyBorder="1" applyAlignment="1">
      <alignment horizontal="center"/>
    </xf>
    <xf numFmtId="179" fontId="20" fillId="0" borderId="5" xfId="5" applyNumberFormat="1" applyFont="1" applyBorder="1" applyAlignment="1" applyProtection="1">
      <alignment horizontal="center"/>
      <protection locked="0"/>
    </xf>
    <xf numFmtId="182" fontId="6" fillId="0" borderId="5" xfId="0" applyNumberFormat="1" applyFont="1" applyBorder="1" applyAlignment="1" applyProtection="1">
      <alignment horizontal="center" vertical="center"/>
    </xf>
    <xf numFmtId="177" fontId="0" fillId="4" borderId="1" xfId="0" quotePrefix="1" applyNumberFormat="1" applyFill="1" applyBorder="1" applyAlignment="1" applyProtection="1">
      <alignment horizontal="center" vertical="center"/>
      <protection locked="0"/>
    </xf>
    <xf numFmtId="0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4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Border="1">
      <alignment vertical="center"/>
    </xf>
    <xf numFmtId="14" fontId="0" fillId="0" borderId="0" xfId="0" applyNumberFormat="1" applyBorder="1">
      <alignment vertical="center"/>
    </xf>
    <xf numFmtId="180" fontId="0" fillId="0" borderId="12" xfId="0" applyNumberFormat="1" applyBorder="1" applyAlignment="1" applyProtection="1">
      <alignment horizontal="center" vertical="center"/>
    </xf>
    <xf numFmtId="180" fontId="0" fillId="3" borderId="12" xfId="0" applyNumberFormat="1" applyFill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center" vertical="center"/>
    </xf>
    <xf numFmtId="182" fontId="6" fillId="0" borderId="0" xfId="0" applyNumberFormat="1" applyFont="1" applyBorder="1" applyAlignment="1" applyProtection="1">
      <alignment horizontal="center" vertical="center"/>
    </xf>
    <xf numFmtId="180" fontId="0" fillId="4" borderId="12" xfId="0" applyNumberFormat="1" applyFill="1" applyBorder="1" applyAlignment="1" applyProtection="1">
      <alignment horizontal="center" vertical="center"/>
    </xf>
    <xf numFmtId="180" fontId="0" fillId="0" borderId="5" xfId="0" applyNumberFormat="1" applyBorder="1" applyAlignment="1" applyProtection="1">
      <alignment horizontal="center" vertical="center"/>
    </xf>
    <xf numFmtId="49" fontId="4" fillId="0" borderId="10" xfId="0" applyNumberFormat="1" applyFont="1" applyBorder="1" applyAlignment="1" applyProtection="1">
      <alignment horizontal="center" vertical="center"/>
    </xf>
    <xf numFmtId="49" fontId="8" fillId="0" borderId="6" xfId="0" applyNumberFormat="1" applyFont="1" applyBorder="1" applyAlignment="1" applyProtection="1">
      <alignment horizontal="left" vertical="center"/>
    </xf>
    <xf numFmtId="49" fontId="8" fillId="0" borderId="0" xfId="0" applyNumberFormat="1" applyFont="1" applyBorder="1" applyAlignment="1" applyProtection="1">
      <alignment horizontal="left" vertical="center"/>
    </xf>
    <xf numFmtId="0" fontId="4" fillId="0" borderId="0" xfId="0" applyNumberFormat="1" applyFont="1">
      <alignment vertical="center"/>
    </xf>
    <xf numFmtId="180" fontId="3" fillId="3" borderId="5" xfId="0" applyNumberFormat="1" applyFont="1" applyFill="1" applyBorder="1" applyAlignment="1" applyProtection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4" fillId="0" borderId="0" xfId="0" applyNumberFormat="1" applyFont="1" applyBorder="1" applyAlignment="1">
      <alignment horizontal="right" vertical="center"/>
    </xf>
    <xf numFmtId="0" fontId="0" fillId="0" borderId="0" xfId="0" applyNumberFormat="1" applyBorder="1" applyAlignment="1">
      <alignment horizontal="right" vertical="center"/>
    </xf>
    <xf numFmtId="0" fontId="0" fillId="0" borderId="0" xfId="0" applyAlignment="1">
      <alignment horizontal="left" vertical="center"/>
    </xf>
    <xf numFmtId="177" fontId="4" fillId="3" borderId="1" xfId="0" quotePrefix="1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Protection="1">
      <alignment vertical="center"/>
    </xf>
    <xf numFmtId="177" fontId="3" fillId="9" borderId="5" xfId="0" applyNumberFormat="1" applyFont="1" applyFill="1" applyBorder="1" applyAlignment="1" applyProtection="1">
      <alignment horizontal="center" vertical="center"/>
    </xf>
    <xf numFmtId="180" fontId="4" fillId="3" borderId="7" xfId="0" applyNumberFormat="1" applyFont="1" applyFill="1" applyBorder="1" applyAlignment="1" applyProtection="1">
      <alignment horizontal="center" vertical="center"/>
    </xf>
    <xf numFmtId="177" fontId="4" fillId="4" borderId="1" xfId="0" quotePrefix="1" applyNumberFormat="1" applyFont="1" applyFill="1" applyBorder="1" applyAlignment="1" applyProtection="1">
      <alignment horizontal="center" vertical="center"/>
      <protection locked="0"/>
    </xf>
    <xf numFmtId="180" fontId="3" fillId="4" borderId="5" xfId="0" applyNumberFormat="1" applyFont="1" applyFill="1" applyBorder="1" applyAlignment="1" applyProtection="1">
      <alignment horizontal="center" vertical="center"/>
    </xf>
    <xf numFmtId="180" fontId="4" fillId="4" borderId="7" xfId="0" applyNumberFormat="1" applyFont="1" applyFill="1" applyBorder="1" applyAlignment="1" applyProtection="1">
      <alignment horizontal="center" vertical="center"/>
    </xf>
    <xf numFmtId="0" fontId="0" fillId="9" borderId="0" xfId="0" applyFill="1" applyBorder="1" applyAlignment="1" applyProtection="1">
      <alignment horizontal="center" vertical="center"/>
    </xf>
    <xf numFmtId="0" fontId="0" fillId="9" borderId="0" xfId="0" applyNumberFormat="1" applyFill="1" applyBorder="1" applyAlignment="1" applyProtection="1">
      <alignment horizontal="center" vertical="center"/>
    </xf>
    <xf numFmtId="0" fontId="0" fillId="9" borderId="0" xfId="0" applyFill="1" applyBorder="1" applyProtection="1">
      <alignment vertical="center"/>
    </xf>
    <xf numFmtId="0" fontId="4" fillId="9" borderId="0" xfId="0" applyFont="1" applyFill="1" applyBorder="1" applyProtection="1">
      <alignment vertical="center"/>
    </xf>
    <xf numFmtId="0" fontId="4" fillId="0" borderId="0" xfId="0" applyFont="1" applyAlignment="1">
      <alignment horizontal="right" vertical="center"/>
    </xf>
    <xf numFmtId="0" fontId="0" fillId="0" borderId="0" xfId="0" applyNumberFormat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ill="1" applyBorder="1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center"/>
    </xf>
    <xf numFmtId="177" fontId="0" fillId="0" borderId="0" xfId="0" quotePrefix="1" applyNumberFormat="1" applyFill="1" applyBorder="1" applyAlignment="1" applyProtection="1">
      <alignment horizontal="center" vertical="center"/>
      <protection locked="0"/>
    </xf>
    <xf numFmtId="177" fontId="3" fillId="0" borderId="0" xfId="0" applyNumberFormat="1" applyFont="1" applyFill="1" applyBorder="1" applyAlignment="1" applyProtection="1">
      <alignment horizontal="center" vertical="center"/>
    </xf>
    <xf numFmtId="49" fontId="4" fillId="0" borderId="14" xfId="0" applyNumberFormat="1" applyFont="1" applyBorder="1" applyAlignment="1" applyProtection="1">
      <alignment horizontal="center" vertical="center"/>
    </xf>
    <xf numFmtId="49" fontId="0" fillId="0" borderId="2" xfId="0" applyNumberFormat="1" applyBorder="1" applyAlignment="1" applyProtection="1">
      <alignment horizontal="center" vertical="center"/>
    </xf>
    <xf numFmtId="0" fontId="4" fillId="0" borderId="9" xfId="0" applyNumberFormat="1" applyFont="1" applyBorder="1" applyAlignment="1" applyProtection="1">
      <alignment horizontal="center" vertical="center"/>
    </xf>
    <xf numFmtId="0" fontId="4" fillId="9" borderId="5" xfId="0" applyNumberFormat="1" applyFont="1" applyFill="1" applyBorder="1" applyAlignment="1" applyProtection="1">
      <alignment horizontal="center" vertical="center"/>
    </xf>
    <xf numFmtId="0" fontId="0" fillId="9" borderId="5" xfId="0" applyFill="1" applyBorder="1" applyAlignment="1" applyProtection="1">
      <alignment horizontal="center" vertical="center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4" fillId="3" borderId="4" xfId="1" applyNumberFormat="1" applyFill="1" applyBorder="1" applyAlignment="1" applyProtection="1">
      <alignment horizontal="center" vertical="center"/>
      <protection locked="0"/>
    </xf>
    <xf numFmtId="177" fontId="4" fillId="3" borderId="4" xfId="0" quotePrefix="1" applyNumberFormat="1" applyFont="1" applyFill="1" applyBorder="1" applyAlignment="1" applyProtection="1">
      <alignment horizontal="center" vertical="center"/>
      <protection locked="0"/>
    </xf>
    <xf numFmtId="180" fontId="4" fillId="3" borderId="12" xfId="0" applyNumberFormat="1" applyFont="1" applyFill="1" applyBorder="1" applyAlignment="1" applyProtection="1">
      <alignment horizontal="center" vertical="center"/>
    </xf>
    <xf numFmtId="180" fontId="3" fillId="3" borderId="8" xfId="0" applyNumberFormat="1" applyFont="1" applyFill="1" applyBorder="1" applyAlignment="1" applyProtection="1">
      <alignment horizontal="center" vertical="center"/>
    </xf>
    <xf numFmtId="0" fontId="4" fillId="0" borderId="5" xfId="1" applyNumberFormat="1" applyBorder="1" applyAlignment="1" applyProtection="1">
      <alignment horizontal="center" vertical="center"/>
    </xf>
    <xf numFmtId="177" fontId="0" fillId="0" borderId="5" xfId="0" applyNumberFormat="1" applyBorder="1" applyAlignment="1" applyProtection="1">
      <alignment horizontal="center" vertical="center"/>
    </xf>
    <xf numFmtId="0" fontId="0" fillId="0" borderId="5" xfId="0" applyNumberFormat="1" applyBorder="1">
      <alignment vertical="center"/>
    </xf>
    <xf numFmtId="177" fontId="4" fillId="9" borderId="10" xfId="0" quotePrefix="1" applyNumberFormat="1" applyFont="1" applyFill="1" applyBorder="1" applyAlignment="1" applyProtection="1">
      <alignment horizontal="center" vertical="center"/>
      <protection locked="0"/>
    </xf>
    <xf numFmtId="177" fontId="0" fillId="9" borderId="10" xfId="0" applyNumberFormat="1" applyFill="1" applyBorder="1" applyAlignment="1" applyProtection="1">
      <alignment horizontal="center" vertical="center"/>
      <protection locked="0"/>
    </xf>
    <xf numFmtId="177" fontId="0" fillId="9" borderId="10" xfId="0" quotePrefix="1" applyNumberFormat="1" applyFill="1" applyBorder="1" applyAlignment="1" applyProtection="1">
      <alignment horizontal="center" vertical="center"/>
      <protection locked="0"/>
    </xf>
    <xf numFmtId="0" fontId="0" fillId="0" borderId="0" xfId="0" applyNumberFormat="1" applyFill="1" applyBorder="1">
      <alignment vertical="center"/>
    </xf>
    <xf numFmtId="0" fontId="6" fillId="0" borderId="0" xfId="0" applyFont="1" applyBorder="1" applyProtection="1">
      <alignment vertical="center"/>
    </xf>
    <xf numFmtId="182" fontId="6" fillId="0" borderId="0" xfId="0" applyNumberFormat="1" applyFont="1" applyBorder="1" applyProtection="1">
      <alignment vertical="center"/>
    </xf>
    <xf numFmtId="0" fontId="4" fillId="3" borderId="4" xfId="1" applyNumberFormat="1" applyFill="1" applyBorder="1" applyAlignment="1" applyProtection="1">
      <alignment horizontal="center" vertical="center"/>
    </xf>
    <xf numFmtId="0" fontId="4" fillId="3" borderId="1" xfId="1" applyNumberFormat="1" applyFill="1" applyBorder="1" applyAlignment="1" applyProtection="1">
      <alignment horizontal="center" vertical="center"/>
    </xf>
    <xf numFmtId="0" fontId="4" fillId="4" borderId="1" xfId="1" applyNumberFormat="1" applyFill="1" applyBorder="1" applyAlignment="1" applyProtection="1">
      <alignment horizontal="center" vertical="center"/>
    </xf>
    <xf numFmtId="177" fontId="0" fillId="9" borderId="5" xfId="0" quotePrefix="1" applyNumberFormat="1" applyFill="1" applyBorder="1" applyAlignment="1" applyProtection="1">
      <alignment horizontal="center" vertical="center"/>
      <protection locked="0"/>
    </xf>
    <xf numFmtId="0" fontId="0" fillId="0" borderId="5" xfId="0" applyNumberFormat="1" applyBorder="1" applyProtection="1">
      <alignment vertical="center"/>
    </xf>
    <xf numFmtId="0" fontId="0" fillId="0" borderId="5" xfId="0" applyNumberFormat="1" applyBorder="1" applyAlignment="1">
      <alignment horizontal="center" vertical="center"/>
    </xf>
    <xf numFmtId="0" fontId="24" fillId="0" borderId="0" xfId="5" applyFont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177" fontId="0" fillId="9" borderId="5" xfId="0" quotePrefix="1" applyNumberFormat="1" applyFill="1" applyBorder="1" applyAlignment="1" applyProtection="1">
      <alignment horizontal="center" vertical="center"/>
    </xf>
    <xf numFmtId="49" fontId="0" fillId="10" borderId="5" xfId="0" applyNumberFormat="1" applyFill="1" applyBorder="1" applyAlignment="1" applyProtection="1">
      <alignment horizontal="center" vertical="center"/>
    </xf>
    <xf numFmtId="49" fontId="4" fillId="10" borderId="5" xfId="0" applyNumberFormat="1" applyFont="1" applyFill="1" applyBorder="1" applyAlignment="1" applyProtection="1">
      <alignment horizontal="center" vertical="center"/>
    </xf>
    <xf numFmtId="49" fontId="0" fillId="10" borderId="14" xfId="0" applyNumberFormat="1" applyFill="1" applyBorder="1" applyAlignment="1" applyProtection="1">
      <alignment horizontal="center" vertical="center"/>
    </xf>
    <xf numFmtId="177" fontId="4" fillId="9" borderId="5" xfId="0" quotePrefix="1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Border="1">
      <alignment vertical="center"/>
    </xf>
    <xf numFmtId="14" fontId="4" fillId="0" borderId="0" xfId="0" applyNumberFormat="1" applyFont="1" applyBorder="1" applyAlignment="1">
      <alignment horizontal="right" vertical="center"/>
    </xf>
    <xf numFmtId="0" fontId="4" fillId="0" borderId="0" xfId="0" applyNumberFormat="1" applyFont="1" applyFill="1" applyBorder="1">
      <alignment vertical="center"/>
    </xf>
    <xf numFmtId="0" fontId="4" fillId="0" borderId="11" xfId="0" applyNumberFormat="1" applyFont="1" applyBorder="1" applyAlignment="1" applyProtection="1">
      <alignment horizontal="center" vertical="center"/>
    </xf>
    <xf numFmtId="180" fontId="0" fillId="0" borderId="11" xfId="0" applyNumberFormat="1" applyBorder="1" applyAlignment="1" applyProtection="1">
      <alignment horizontal="center" vertical="center"/>
    </xf>
    <xf numFmtId="0" fontId="0" fillId="3" borderId="11" xfId="0" applyNumberFormat="1" applyFill="1" applyBorder="1" applyAlignment="1" applyProtection="1">
      <alignment horizontal="center" vertical="center"/>
    </xf>
    <xf numFmtId="0" fontId="0" fillId="4" borderId="11" xfId="0" applyNumberFormat="1" applyFill="1" applyBorder="1" applyAlignment="1" applyProtection="1">
      <alignment horizontal="center" vertical="center"/>
    </xf>
    <xf numFmtId="180" fontId="4" fillId="0" borderId="5" xfId="0" applyNumberFormat="1" applyFont="1" applyBorder="1" applyAlignment="1" applyProtection="1">
      <alignment horizontal="center" vertical="center"/>
    </xf>
    <xf numFmtId="49" fontId="4" fillId="0" borderId="0" xfId="0" applyNumberFormat="1" applyFont="1" applyBorder="1" applyProtection="1">
      <alignment vertical="center"/>
    </xf>
    <xf numFmtId="0" fontId="0" fillId="0" borderId="0" xfId="0" applyBorder="1" applyAlignment="1" applyProtection="1">
      <alignment horizontal="left" vertical="center"/>
    </xf>
    <xf numFmtId="0" fontId="0" fillId="0" borderId="9" xfId="0" applyNumberFormat="1" applyBorder="1">
      <alignment vertical="center"/>
    </xf>
    <xf numFmtId="49" fontId="0" fillId="0" borderId="10" xfId="0" applyNumberFormat="1" applyBorder="1" applyAlignment="1" applyProtection="1">
      <alignment horizontal="center" vertical="center"/>
    </xf>
    <xf numFmtId="180" fontId="0" fillId="0" borderId="10" xfId="0" applyNumberFormat="1" applyBorder="1" applyAlignment="1" applyProtection="1">
      <alignment horizontal="center" vertical="center"/>
    </xf>
    <xf numFmtId="0" fontId="14" fillId="7" borderId="9" xfId="5" applyFont="1" applyFill="1" applyBorder="1" applyAlignment="1">
      <alignment horizontal="center" vertical="center" wrapText="1"/>
    </xf>
    <xf numFmtId="180" fontId="4" fillId="3" borderId="5" xfId="0" applyNumberFormat="1" applyFont="1" applyFill="1" applyBorder="1" applyAlignment="1" applyProtection="1">
      <alignment horizontal="center" vertical="center"/>
      <protection locked="0"/>
    </xf>
    <xf numFmtId="180" fontId="4" fillId="4" borderId="5" xfId="0" applyNumberFormat="1" applyFont="1" applyFill="1" applyBorder="1" applyAlignment="1" applyProtection="1">
      <alignment horizontal="center" vertical="center"/>
      <protection locked="0"/>
    </xf>
    <xf numFmtId="180" fontId="0" fillId="3" borderId="5" xfId="0" applyNumberFormat="1" applyFill="1" applyBorder="1" applyAlignment="1" applyProtection="1">
      <alignment horizontal="center" vertical="center"/>
      <protection locked="0"/>
    </xf>
    <xf numFmtId="180" fontId="0" fillId="4" borderId="5" xfId="0" applyNumberFormat="1" applyFill="1" applyBorder="1" applyAlignment="1" applyProtection="1">
      <alignment horizontal="center" vertical="center"/>
      <protection locked="0"/>
    </xf>
    <xf numFmtId="0" fontId="20" fillId="0" borderId="5" xfId="5" applyFont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49" fontId="4" fillId="10" borderId="8" xfId="0" applyNumberFormat="1" applyFont="1" applyFill="1" applyBorder="1" applyAlignment="1" applyProtection="1">
      <alignment horizontal="center" vertical="center"/>
    </xf>
    <xf numFmtId="0" fontId="0" fillId="0" borderId="0" xfId="0" applyNumberFormat="1" applyAlignment="1">
      <alignment horizontal="right" vertical="center"/>
    </xf>
    <xf numFmtId="0" fontId="18" fillId="7" borderId="9" xfId="6" applyFill="1" applyBorder="1" applyAlignment="1" applyProtection="1">
      <alignment horizontal="center"/>
    </xf>
    <xf numFmtId="0" fontId="14" fillId="7" borderId="9" xfId="5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 applyProtection="1">
      <alignment horizontal="center" vertical="center"/>
      <protection locked="0"/>
    </xf>
    <xf numFmtId="49" fontId="0" fillId="0" borderId="0" xfId="0" applyNumberFormat="1" applyBorder="1" applyAlignment="1">
      <alignment horizontal="left" vertical="center"/>
    </xf>
    <xf numFmtId="0" fontId="0" fillId="0" borderId="0" xfId="0" applyNumberFormat="1" applyBorder="1" applyAlignment="1" applyProtection="1">
      <alignment horizontal="center" vertical="center"/>
      <protection locked="0"/>
    </xf>
    <xf numFmtId="177" fontId="4" fillId="3" borderId="1" xfId="0" applyNumberFormat="1" applyFont="1" applyFill="1" applyBorder="1" applyAlignment="1" applyProtection="1">
      <alignment horizontal="center" vertical="center"/>
      <protection locked="0"/>
    </xf>
    <xf numFmtId="0" fontId="30" fillId="0" borderId="0" xfId="0" applyFont="1" applyAlignment="1">
      <alignment horizontal="center" vertical="center" wrapText="1"/>
    </xf>
    <xf numFmtId="181" fontId="30" fillId="0" borderId="0" xfId="0" applyNumberFormat="1" applyFont="1" applyAlignment="1">
      <alignment horizontal="center" vertical="center" wrapText="1"/>
    </xf>
    <xf numFmtId="0" fontId="30" fillId="0" borderId="0" xfId="0" applyNumberFormat="1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181" fontId="4" fillId="0" borderId="0" xfId="0" applyNumberFormat="1" applyFont="1" applyAlignment="1">
      <alignment horizontal="right" vertical="center" wrapText="1"/>
    </xf>
    <xf numFmtId="0" fontId="4" fillId="0" borderId="0" xfId="0" applyNumberFormat="1" applyFont="1" applyAlignment="1">
      <alignment horizontal="right" vertical="center" wrapText="1"/>
    </xf>
    <xf numFmtId="0" fontId="31" fillId="0" borderId="0" xfId="0" applyFont="1" applyAlignment="1">
      <alignment horizontal="left" vertical="center"/>
    </xf>
    <xf numFmtId="181" fontId="31" fillId="0" borderId="0" xfId="0" applyNumberFormat="1" applyFont="1" applyAlignment="1">
      <alignment horizontal="left" vertical="center"/>
    </xf>
    <xf numFmtId="0" fontId="31" fillId="0" borderId="0" xfId="0" applyNumberFormat="1" applyFont="1" applyAlignment="1">
      <alignment horizontal="left" vertical="center"/>
    </xf>
    <xf numFmtId="0" fontId="4" fillId="9" borderId="0" xfId="0" applyNumberFormat="1" applyFont="1" applyFill="1" applyBorder="1" applyProtection="1">
      <alignment vertical="center"/>
    </xf>
    <xf numFmtId="0" fontId="0" fillId="9" borderId="0" xfId="0" applyNumberFormat="1" applyFill="1" applyBorder="1" applyAlignment="1" applyProtection="1">
      <alignment horizontal="right" vertical="center"/>
    </xf>
    <xf numFmtId="0" fontId="0" fillId="0" borderId="0" xfId="0" applyNumberFormat="1" applyFill="1" applyBorder="1" applyAlignment="1">
      <alignment horizontal="right" vertical="center"/>
    </xf>
    <xf numFmtId="176" fontId="0" fillId="0" borderId="0" xfId="0" applyNumberFormat="1" applyBorder="1" applyAlignment="1" applyProtection="1">
      <alignment horizontal="left" vertical="center"/>
    </xf>
    <xf numFmtId="49" fontId="0" fillId="0" borderId="0" xfId="0" applyNumberFormat="1" applyBorder="1" applyAlignment="1" applyProtection="1">
      <alignment horizontal="center" vertical="center"/>
    </xf>
    <xf numFmtId="49" fontId="0" fillId="0" borderId="0" xfId="0" applyNumberFormat="1" applyBorder="1" applyAlignment="1" applyProtection="1">
      <alignment horizontal="center" vertical="center"/>
    </xf>
    <xf numFmtId="0" fontId="0" fillId="0" borderId="0" xfId="0" applyNumberFormat="1" applyBorder="1" applyAlignment="1" applyProtection="1">
      <alignment horizontal="center" vertical="center"/>
      <protection locked="0"/>
    </xf>
    <xf numFmtId="0" fontId="4" fillId="0" borderId="0" xfId="0" applyNumberFormat="1" applyFont="1" applyBorder="1" applyAlignment="1" applyProtection="1">
      <alignment horizontal="left" vertical="center"/>
      <protection locked="0"/>
    </xf>
    <xf numFmtId="0" fontId="0" fillId="0" borderId="0" xfId="0" applyNumberFormat="1" applyBorder="1" applyAlignment="1" applyProtection="1">
      <alignment horizontal="left" vertical="center"/>
      <protection locked="0"/>
    </xf>
    <xf numFmtId="49" fontId="7" fillId="2" borderId="0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0" fillId="0" borderId="5" xfId="0" applyNumberFormat="1" applyBorder="1" applyAlignment="1" applyProtection="1">
      <alignment horizontal="center" vertical="center"/>
      <protection locked="0"/>
    </xf>
    <xf numFmtId="0" fontId="4" fillId="0" borderId="10" xfId="0" applyNumberFormat="1" applyFont="1" applyBorder="1" applyAlignment="1" applyProtection="1">
      <alignment horizontal="center" vertical="center"/>
      <protection locked="0"/>
    </xf>
    <xf numFmtId="0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5" xfId="0" applyNumberFormat="1" applyFont="1" applyBorder="1" applyAlignment="1" applyProtection="1">
      <alignment horizontal="center" vertical="center"/>
      <protection locked="0"/>
    </xf>
    <xf numFmtId="0" fontId="0" fillId="0" borderId="5" xfId="0" applyNumberFormat="1" applyBorder="1" applyAlignment="1" applyProtection="1">
      <alignment horizontal="center" vertical="center"/>
      <protection locked="0"/>
    </xf>
    <xf numFmtId="49" fontId="18" fillId="0" borderId="0" xfId="6" applyNumberFormat="1" applyBorder="1" applyAlignment="1" applyProtection="1">
      <alignment horizontal="left" vertical="center"/>
      <protection locked="0"/>
    </xf>
    <xf numFmtId="49" fontId="4" fillId="0" borderId="0" xfId="0" applyNumberFormat="1" applyFont="1" applyBorder="1" applyAlignment="1" applyProtection="1">
      <alignment horizontal="left" vertical="center"/>
    </xf>
    <xf numFmtId="49" fontId="0" fillId="0" borderId="0" xfId="0" applyNumberFormat="1" applyBorder="1" applyAlignment="1" applyProtection="1">
      <alignment horizontal="left" vertical="center"/>
    </xf>
    <xf numFmtId="0" fontId="8" fillId="4" borderId="0" xfId="0" applyFont="1" applyFill="1" applyBorder="1" applyAlignment="1" applyProtection="1">
      <alignment horizontal="left" vertical="center"/>
    </xf>
    <xf numFmtId="0" fontId="4" fillId="4" borderId="2" xfId="0" applyNumberFormat="1" applyFont="1" applyFill="1" applyBorder="1" applyAlignment="1" applyProtection="1">
      <alignment horizontal="center" vertical="center"/>
    </xf>
    <xf numFmtId="0" fontId="0" fillId="4" borderId="3" xfId="0" applyNumberFormat="1" applyFill="1" applyBorder="1" applyAlignment="1" applyProtection="1">
      <alignment horizontal="center" vertical="center"/>
    </xf>
    <xf numFmtId="0" fontId="0" fillId="4" borderId="4" xfId="0" applyNumberFormat="1" applyFill="1" applyBorder="1" applyAlignment="1" applyProtection="1">
      <alignment horizontal="center" vertical="center"/>
    </xf>
    <xf numFmtId="0" fontId="4" fillId="3" borderId="2" xfId="0" applyNumberFormat="1" applyFont="1" applyFill="1" applyBorder="1" applyAlignment="1" applyProtection="1">
      <alignment horizontal="center" vertical="center"/>
    </xf>
    <xf numFmtId="0" fontId="0" fillId="3" borderId="3" xfId="0" applyNumberFormat="1" applyFill="1" applyBorder="1" applyAlignment="1" applyProtection="1">
      <alignment horizontal="center" vertical="center"/>
    </xf>
    <xf numFmtId="0" fontId="0" fillId="3" borderId="4" xfId="0" applyNumberFormat="1" applyFill="1" applyBorder="1" applyAlignment="1" applyProtection="1">
      <alignment horizontal="center" vertical="center"/>
    </xf>
    <xf numFmtId="0" fontId="4" fillId="9" borderId="5" xfId="0" applyNumberFormat="1" applyFont="1" applyFill="1" applyBorder="1" applyAlignment="1" applyProtection="1">
      <alignment horizontal="center" vertical="center"/>
    </xf>
    <xf numFmtId="49" fontId="9" fillId="6" borderId="6" xfId="0" applyNumberFormat="1" applyFont="1" applyFill="1" applyBorder="1" applyAlignment="1" applyProtection="1">
      <alignment horizontal="center" vertical="center" wrapText="1"/>
    </xf>
    <xf numFmtId="49" fontId="9" fillId="6" borderId="0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Border="1" applyAlignment="1" applyProtection="1">
      <alignment horizontal="left" vertical="center"/>
    </xf>
    <xf numFmtId="49" fontId="8" fillId="0" borderId="0" xfId="0" applyNumberFormat="1" applyFont="1" applyBorder="1" applyAlignment="1" applyProtection="1">
      <alignment horizontal="left" vertical="center"/>
    </xf>
    <xf numFmtId="49" fontId="11" fillId="0" borderId="6" xfId="0" applyNumberFormat="1" applyFont="1" applyBorder="1" applyAlignment="1" applyProtection="1">
      <alignment horizontal="left" vertical="center"/>
    </xf>
    <xf numFmtId="49" fontId="11" fillId="0" borderId="0" xfId="0" applyNumberFormat="1" applyFont="1" applyBorder="1" applyAlignment="1" applyProtection="1">
      <alignment horizontal="left" vertical="center"/>
    </xf>
    <xf numFmtId="0" fontId="8" fillId="0" borderId="6" xfId="0" applyNumberFormat="1" applyFont="1" applyBorder="1" applyAlignment="1" applyProtection="1">
      <alignment horizontal="left" vertical="center"/>
    </xf>
    <xf numFmtId="0" fontId="8" fillId="0" borderId="0" xfId="0" applyNumberFormat="1" applyFont="1" applyBorder="1" applyAlignment="1" applyProtection="1">
      <alignment horizontal="left" vertical="center"/>
    </xf>
    <xf numFmtId="0" fontId="4" fillId="0" borderId="5" xfId="0" applyNumberFormat="1" applyFont="1" applyBorder="1" applyAlignment="1" applyProtection="1">
      <alignment horizontal="center" vertical="center"/>
    </xf>
    <xf numFmtId="0" fontId="0" fillId="0" borderId="5" xfId="0" applyNumberFormat="1" applyBorder="1" applyAlignment="1" applyProtection="1">
      <alignment horizontal="center" vertical="center"/>
    </xf>
    <xf numFmtId="49" fontId="4" fillId="0" borderId="5" xfId="0" applyNumberFormat="1" applyFont="1" applyBorder="1" applyAlignment="1" applyProtection="1">
      <alignment horizontal="center" vertical="center"/>
    </xf>
    <xf numFmtId="49" fontId="0" fillId="0" borderId="5" xfId="0" applyNumberFormat="1" applyBorder="1" applyAlignment="1" applyProtection="1">
      <alignment horizontal="center" vertical="center"/>
    </xf>
    <xf numFmtId="0" fontId="4" fillId="4" borderId="15" xfId="0" applyNumberFormat="1" applyFont="1" applyFill="1" applyBorder="1" applyAlignment="1" applyProtection="1">
      <alignment horizontal="center" vertical="center"/>
    </xf>
    <xf numFmtId="0" fontId="4" fillId="4" borderId="16" xfId="0" applyNumberFormat="1" applyFont="1" applyFill="1" applyBorder="1" applyAlignment="1" applyProtection="1">
      <alignment horizontal="center" vertical="center"/>
    </xf>
    <xf numFmtId="0" fontId="4" fillId="4" borderId="17" xfId="0" applyNumberFormat="1" applyFont="1" applyFill="1" applyBorder="1" applyAlignment="1" applyProtection="1">
      <alignment horizontal="center" vertical="center"/>
    </xf>
    <xf numFmtId="0" fontId="4" fillId="3" borderId="3" xfId="0" applyNumberFormat="1" applyFont="1" applyFill="1" applyBorder="1" applyAlignment="1" applyProtection="1">
      <alignment horizontal="center" vertical="center"/>
    </xf>
    <xf numFmtId="0" fontId="4" fillId="3" borderId="4" xfId="0" applyNumberFormat="1" applyFont="1" applyFill="1" applyBorder="1" applyAlignment="1" applyProtection="1">
      <alignment horizontal="center" vertical="center"/>
    </xf>
    <xf numFmtId="0" fontId="0" fillId="9" borderId="10" xfId="0" applyNumberFormat="1" applyFill="1" applyBorder="1" applyAlignment="1" applyProtection="1">
      <alignment horizontal="center" vertical="center"/>
    </xf>
    <xf numFmtId="49" fontId="9" fillId="5" borderId="6" xfId="0" applyNumberFormat="1" applyFont="1" applyFill="1" applyBorder="1" applyAlignment="1" applyProtection="1">
      <alignment horizontal="center" vertical="center" wrapText="1"/>
    </xf>
    <xf numFmtId="49" fontId="9" fillId="5" borderId="0" xfId="0" applyNumberFormat="1" applyFont="1" applyFill="1" applyBorder="1" applyAlignment="1" applyProtection="1">
      <alignment horizontal="center" vertical="center" wrapText="1"/>
    </xf>
    <xf numFmtId="49" fontId="4" fillId="0" borderId="14" xfId="0" applyNumberFormat="1" applyFont="1" applyBorder="1" applyAlignment="1" applyProtection="1">
      <alignment horizontal="center" vertical="center"/>
    </xf>
    <xf numFmtId="49" fontId="0" fillId="0" borderId="13" xfId="0" applyNumberFormat="1" applyBorder="1" applyAlignment="1" applyProtection="1">
      <alignment horizontal="center" vertical="center"/>
    </xf>
    <xf numFmtId="0" fontId="14" fillId="8" borderId="0" xfId="5" applyFont="1" applyFill="1" applyAlignment="1">
      <alignment horizontal="left"/>
    </xf>
    <xf numFmtId="0" fontId="13" fillId="8" borderId="0" xfId="5" applyFont="1" applyFill="1" applyAlignment="1">
      <alignment horizontal="center"/>
    </xf>
    <xf numFmtId="0" fontId="19" fillId="8" borderId="0" xfId="6" applyFont="1" applyFill="1" applyBorder="1" applyAlignment="1" applyProtection="1">
      <alignment horizontal="center"/>
    </xf>
    <xf numFmtId="0" fontId="23" fillId="8" borderId="0" xfId="5" applyFont="1" applyFill="1" applyAlignment="1">
      <alignment horizontal="center"/>
    </xf>
    <xf numFmtId="0" fontId="14" fillId="8" borderId="0" xfId="5" applyFont="1" applyFill="1" applyAlignment="1">
      <alignment horizontal="center"/>
    </xf>
  </cellXfs>
  <cellStyles count="9">
    <cellStyle name="一般" xfId="0" builtinId="0"/>
    <cellStyle name="一般 2" xfId="1" xr:uid="{00000000-0005-0000-0000-000001000000}"/>
    <cellStyle name="一般 2 2" xfId="3" xr:uid="{00000000-0005-0000-0000-000002000000}"/>
    <cellStyle name="一般 3" xfId="2" xr:uid="{00000000-0005-0000-0000-000003000000}"/>
    <cellStyle name="一般 3 2" xfId="7" xr:uid="{00000000-0005-0000-0000-000004000000}"/>
    <cellStyle name="一般 4" xfId="5" xr:uid="{00000000-0005-0000-0000-000005000000}"/>
    <cellStyle name="超連結" xfId="6" builtinId="8"/>
    <cellStyle name="樣式 1" xfId="4" xr:uid="{00000000-0005-0000-0000-000006000000}"/>
    <cellStyle name="樣式 1 2" xfId="8" xr:uid="{00000000-0005-0000-0000-000007000000}"/>
  </cellStyles>
  <dxfs count="2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  <border>
        <vertical/>
        <horizontal/>
      </border>
    </dxf>
    <dxf>
      <font>
        <color auto="1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auto="1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 tint="-0.34998626667073579"/>
        </patternFill>
      </fill>
    </dxf>
    <dxf>
      <fill>
        <patternFill>
          <bgColor rgb="FFFF0000"/>
        </patternFill>
      </fill>
    </dxf>
    <dxf>
      <fill>
        <patternFill>
          <bgColor theme="0" tint="-0.34998626667073579"/>
        </patternFill>
      </fill>
    </dxf>
    <dxf>
      <fill>
        <patternFill>
          <bgColor rgb="FFFF0000"/>
        </patternFill>
      </fill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新細明體"/>
        <scheme val="none"/>
      </font>
      <numFmt numFmtId="30" formatCode="@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新細明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新細明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新細明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新細明體"/>
        <scheme val="none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0</xdr:row>
      <xdr:rowOff>190500</xdr:rowOff>
    </xdr:from>
    <xdr:to>
      <xdr:col>1</xdr:col>
      <xdr:colOff>1476375</xdr:colOff>
      <xdr:row>3</xdr:row>
      <xdr:rowOff>38100</xdr:rowOff>
    </xdr:to>
    <xdr:pic>
      <xdr:nvPicPr>
        <xdr:cNvPr id="2" name="圖片 1" descr="1379480_174872406037101_1146423507_n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" y="190500"/>
          <a:ext cx="8191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表格1_4" displayName="表格1_4" ref="H35:H38" totalsRowShown="0" headerRowDxfId="28" dataDxfId="27">
  <autoFilter ref="H35:H38" xr:uid="{00000000-0009-0000-0100-000003000000}"/>
  <tableColumns count="1">
    <tableColumn id="1" xr3:uid="{00000000-0010-0000-0000-000001000000}" name="欄1" dataDxfId="2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表格2" displayName="表格2" ref="T2:T4" totalsRowShown="0" headerRowDxfId="25">
  <autoFilter ref="T2:T4" xr:uid="{00000000-0009-0000-0100-000002000000}"/>
  <tableColumns count="1">
    <tableColumn id="1" xr3:uid="{00000000-0010-0000-0100-000001000000}" name="欄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表格1" displayName="表格1" ref="R8:R10" totalsRowShown="0" headerRowDxfId="24" headerRowBorderDxfId="23" tableBorderDxfId="22">
  <autoFilter ref="R8:R10" xr:uid="{00000000-0009-0000-0100-000001000000}"/>
  <tableColumns count="1">
    <tableColumn id="1" xr3:uid="{00000000-0010-0000-0200-000001000000}" name="申請成績証書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 佈景主題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佈景主題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佈景主題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forms.gle/xUZiLp7nTGbbNtSg6" TargetMode="External"/><Relationship Id="rId1" Type="http://schemas.openxmlformats.org/officeDocument/2006/relationships/hyperlink" Target="https://forms.gle/xUZiLp7nTGbbNtSg6" TargetMode="Externa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hkcasa.org.hk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IY120"/>
  <sheetViews>
    <sheetView tabSelected="1" view="pageBreakPreview" zoomScaleNormal="100" zoomScaleSheetLayoutView="100" workbookViewId="0">
      <selection activeCell="D23" sqref="D23:E23"/>
    </sheetView>
  </sheetViews>
  <sheetFormatPr defaultColWidth="8.75" defaultRowHeight="16.5" customHeight="1"/>
  <cols>
    <col min="1" max="1" width="8.875" style="3" customWidth="1"/>
    <col min="2" max="2" width="14.625" style="3" customWidth="1"/>
    <col min="3" max="3" width="16.5" style="3" customWidth="1"/>
    <col min="4" max="5" width="14.625" style="3" customWidth="1"/>
    <col min="6" max="6" width="30.375" style="3" customWidth="1"/>
    <col min="7" max="7" width="8.875" style="3" hidden="1" customWidth="1"/>
    <col min="8" max="8" width="21.5" style="3" hidden="1" customWidth="1"/>
    <col min="9" max="9" width="13.5" style="3" hidden="1" customWidth="1"/>
    <col min="10" max="10" width="8.875" style="3" hidden="1" customWidth="1"/>
    <col min="11" max="11" width="7.875" style="3" hidden="1" customWidth="1"/>
    <col min="12" max="12" width="10.25" style="3" hidden="1" customWidth="1"/>
    <col min="13" max="93" width="8.875" style="3" hidden="1" customWidth="1"/>
    <col min="94" max="258" width="8.875" style="3" customWidth="1"/>
    <col min="259" max="16384" width="8.75" style="2"/>
  </cols>
  <sheetData>
    <row r="1" spans="1:259" ht="87" customHeight="1">
      <c r="A1" s="170" t="s">
        <v>93</v>
      </c>
      <c r="B1" s="170"/>
      <c r="C1" s="170"/>
      <c r="D1" s="170"/>
      <c r="E1" s="170"/>
      <c r="F1" s="170"/>
      <c r="H1" s="52" t="s">
        <v>139</v>
      </c>
      <c r="I1" s="52" t="s">
        <v>141</v>
      </c>
      <c r="J1" s="52" t="s">
        <v>143</v>
      </c>
      <c r="M1" s="66" t="s">
        <v>157</v>
      </c>
      <c r="N1" s="66" t="s">
        <v>158</v>
      </c>
      <c r="O1" s="66" t="s">
        <v>159</v>
      </c>
      <c r="P1" s="66" t="s">
        <v>160</v>
      </c>
      <c r="Q1" s="66" t="s">
        <v>366</v>
      </c>
      <c r="R1" s="66" t="s">
        <v>367</v>
      </c>
      <c r="AO1" s="52" t="s">
        <v>364</v>
      </c>
      <c r="AP1" s="52" t="s">
        <v>365</v>
      </c>
    </row>
    <row r="2" spans="1:259" ht="16.899999999999999" customHeight="1">
      <c r="A2" s="5"/>
      <c r="B2" s="5"/>
      <c r="C2" s="5"/>
      <c r="D2" s="5"/>
      <c r="E2" s="5"/>
      <c r="F2" s="5"/>
      <c r="H2" s="52" t="s">
        <v>154</v>
      </c>
      <c r="I2" s="124">
        <v>45053</v>
      </c>
      <c r="J2" s="52" t="s">
        <v>216</v>
      </c>
      <c r="L2" s="63" t="s">
        <v>145</v>
      </c>
      <c r="S2" s="70" t="s">
        <v>162</v>
      </c>
      <c r="T2" s="70">
        <v>4</v>
      </c>
      <c r="U2" s="78" t="s">
        <v>106</v>
      </c>
      <c r="V2" s="76">
        <v>32</v>
      </c>
      <c r="W2" s="78" t="s">
        <v>107</v>
      </c>
      <c r="X2" s="76">
        <v>34</v>
      </c>
      <c r="AE2" s="78" t="s">
        <v>106</v>
      </c>
      <c r="AF2" s="76">
        <v>31</v>
      </c>
      <c r="AG2" s="78" t="s">
        <v>107</v>
      </c>
      <c r="AH2" s="76">
        <v>33</v>
      </c>
      <c r="AO2" s="3">
        <v>15</v>
      </c>
      <c r="AP2" s="67">
        <v>30</v>
      </c>
      <c r="IY2" s="3"/>
    </row>
    <row r="3" spans="1:259" ht="16.899999999999999" customHeight="1">
      <c r="A3" s="180" t="s">
        <v>15</v>
      </c>
      <c r="B3" s="180"/>
      <c r="C3" s="180"/>
      <c r="D3" s="180"/>
      <c r="E3" s="180"/>
      <c r="F3" s="180"/>
      <c r="H3" s="52" t="s">
        <v>155</v>
      </c>
      <c r="I3" s="53">
        <v>45060</v>
      </c>
      <c r="J3" s="52" t="s">
        <v>216</v>
      </c>
      <c r="L3" s="63" t="s">
        <v>146</v>
      </c>
      <c r="S3" s="70" t="s">
        <v>162</v>
      </c>
      <c r="T3" s="70">
        <v>4</v>
      </c>
      <c r="U3" s="78" t="s">
        <v>106</v>
      </c>
      <c r="V3" s="76">
        <v>34</v>
      </c>
      <c r="W3" s="78" t="s">
        <v>107</v>
      </c>
      <c r="X3" s="76">
        <v>36</v>
      </c>
      <c r="AE3" s="78" t="s">
        <v>106</v>
      </c>
      <c r="AF3" s="76">
        <v>33</v>
      </c>
      <c r="AG3" s="78" t="s">
        <v>107</v>
      </c>
      <c r="AH3" s="76">
        <v>35</v>
      </c>
      <c r="AO3" s="3">
        <v>15</v>
      </c>
      <c r="AP3" s="67">
        <v>30</v>
      </c>
      <c r="IY3" s="3"/>
    </row>
    <row r="4" spans="1:259" ht="16.899999999999999" customHeight="1">
      <c r="A4" s="180" t="s">
        <v>94</v>
      </c>
      <c r="B4" s="180"/>
      <c r="C4" s="180"/>
      <c r="D4" s="180"/>
      <c r="E4" s="180"/>
      <c r="F4" s="180"/>
      <c r="H4" s="52" t="s">
        <v>150</v>
      </c>
      <c r="I4" s="125" t="s">
        <v>215</v>
      </c>
      <c r="J4" s="52" t="s">
        <v>152</v>
      </c>
      <c r="L4" s="63" t="s">
        <v>156</v>
      </c>
      <c r="M4" s="67">
        <v>2007</v>
      </c>
      <c r="N4" s="67">
        <v>2008</v>
      </c>
      <c r="O4" s="3">
        <v>2008</v>
      </c>
      <c r="P4" s="3">
        <v>2009</v>
      </c>
      <c r="S4" s="52" t="s">
        <v>211</v>
      </c>
      <c r="T4" s="126">
        <v>4</v>
      </c>
      <c r="U4" s="78" t="s">
        <v>108</v>
      </c>
      <c r="V4" s="77">
        <v>28</v>
      </c>
      <c r="W4" s="78" t="s">
        <v>109</v>
      </c>
      <c r="X4" s="76">
        <v>30</v>
      </c>
      <c r="Y4" s="79" t="s">
        <v>280</v>
      </c>
      <c r="Z4" s="76">
        <v>58</v>
      </c>
      <c r="AA4" s="78" t="s">
        <v>111</v>
      </c>
      <c r="AB4" s="76">
        <v>60</v>
      </c>
      <c r="AE4" s="79" t="s">
        <v>129</v>
      </c>
      <c r="AF4" s="77">
        <v>27</v>
      </c>
      <c r="AG4" s="79" t="s">
        <v>130</v>
      </c>
      <c r="AH4" s="76">
        <v>29</v>
      </c>
      <c r="AI4" s="79" t="s">
        <v>131</v>
      </c>
      <c r="AJ4" s="76">
        <v>57</v>
      </c>
      <c r="AK4" s="79" t="s">
        <v>132</v>
      </c>
      <c r="AL4" s="76">
        <v>59</v>
      </c>
      <c r="AO4" s="161">
        <v>15</v>
      </c>
      <c r="AP4" s="162">
        <v>30</v>
      </c>
      <c r="IY4" s="3"/>
    </row>
    <row r="5" spans="1:259" ht="16.899999999999999" customHeight="1">
      <c r="A5" s="34" t="s">
        <v>91</v>
      </c>
      <c r="B5" s="34"/>
      <c r="C5" s="34"/>
      <c r="D5" s="34"/>
      <c r="E5" s="34"/>
      <c r="F5" s="34"/>
      <c r="H5" s="52" t="s">
        <v>151</v>
      </c>
      <c r="I5" s="53">
        <v>45256</v>
      </c>
      <c r="J5" s="52" t="s">
        <v>153</v>
      </c>
      <c r="L5" s="63" t="s">
        <v>105</v>
      </c>
      <c r="M5" s="67">
        <v>2007</v>
      </c>
      <c r="N5" s="67">
        <v>2008</v>
      </c>
      <c r="O5" s="3">
        <v>2008</v>
      </c>
      <c r="P5" s="3">
        <v>2009</v>
      </c>
      <c r="Q5" s="103">
        <v>2013</v>
      </c>
      <c r="R5" s="103">
        <v>2014</v>
      </c>
      <c r="S5" s="52" t="s">
        <v>211</v>
      </c>
      <c r="T5" s="126">
        <v>4</v>
      </c>
      <c r="U5" s="78" t="s">
        <v>112</v>
      </c>
      <c r="V5" s="76">
        <v>22</v>
      </c>
      <c r="W5" s="78" t="s">
        <v>113</v>
      </c>
      <c r="X5" s="76">
        <v>24</v>
      </c>
      <c r="Y5" s="3" t="s">
        <v>380</v>
      </c>
      <c r="Z5" s="77">
        <v>26</v>
      </c>
      <c r="AA5" s="78" t="s">
        <v>114</v>
      </c>
      <c r="AB5" s="76">
        <v>52</v>
      </c>
      <c r="AC5" s="78" t="s">
        <v>115</v>
      </c>
      <c r="AD5" s="76">
        <v>54</v>
      </c>
      <c r="AE5" s="79" t="s">
        <v>133</v>
      </c>
      <c r="AF5" s="76">
        <v>21</v>
      </c>
      <c r="AG5" s="79" t="s">
        <v>134</v>
      </c>
      <c r="AH5" s="76">
        <v>23</v>
      </c>
      <c r="AI5" t="s">
        <v>372</v>
      </c>
      <c r="AJ5" s="3">
        <v>25</v>
      </c>
      <c r="AK5" s="79" t="s">
        <v>135</v>
      </c>
      <c r="AL5" s="76">
        <v>41</v>
      </c>
      <c r="AM5" s="79" t="s">
        <v>136</v>
      </c>
      <c r="AN5" s="76">
        <v>43</v>
      </c>
      <c r="AO5" s="161">
        <v>15</v>
      </c>
      <c r="AP5" s="162">
        <v>30</v>
      </c>
      <c r="IY5" s="3"/>
    </row>
    <row r="6" spans="1:259" ht="16.899999999999999" customHeight="1">
      <c r="A6" s="180" t="s">
        <v>92</v>
      </c>
      <c r="B6" s="180"/>
      <c r="C6" s="180"/>
      <c r="D6" s="180"/>
      <c r="E6" s="180"/>
      <c r="F6" s="180"/>
      <c r="H6" s="126" t="s">
        <v>274</v>
      </c>
      <c r="I6" s="53">
        <v>45151</v>
      </c>
      <c r="J6" s="52" t="s">
        <v>152</v>
      </c>
      <c r="L6" s="63" t="s">
        <v>275</v>
      </c>
      <c r="S6" s="52" t="s">
        <v>278</v>
      </c>
      <c r="T6" s="52">
        <v>3</v>
      </c>
      <c r="U6" s="52" t="s">
        <v>279</v>
      </c>
      <c r="V6" s="77">
        <v>81</v>
      </c>
      <c r="W6" s="52" t="s">
        <v>281</v>
      </c>
      <c r="X6" s="77">
        <v>82</v>
      </c>
      <c r="AO6" s="103">
        <v>50</v>
      </c>
      <c r="AP6" s="163">
        <v>100</v>
      </c>
      <c r="IY6" s="3"/>
    </row>
    <row r="7" spans="1:259" ht="16.899999999999999" customHeight="1">
      <c r="A7" s="180" t="s">
        <v>273</v>
      </c>
      <c r="B7" s="180"/>
      <c r="C7" s="180"/>
      <c r="D7" s="180"/>
      <c r="E7" s="180"/>
      <c r="F7" s="180"/>
    </row>
    <row r="8" spans="1:259" ht="19.899999999999999" customHeight="1">
      <c r="A8" s="177" t="s">
        <v>268</v>
      </c>
      <c r="B8" s="177"/>
      <c r="C8" s="177"/>
      <c r="D8" s="177"/>
      <c r="E8" s="177"/>
      <c r="F8" s="177"/>
      <c r="H8" s="28" t="s">
        <v>147</v>
      </c>
      <c r="I8">
        <v>1</v>
      </c>
      <c r="J8">
        <v>2</v>
      </c>
      <c r="K8">
        <v>3</v>
      </c>
      <c r="L8">
        <v>4</v>
      </c>
      <c r="M8">
        <v>5</v>
      </c>
      <c r="N8">
        <v>6</v>
      </c>
      <c r="O8">
        <v>7</v>
      </c>
      <c r="P8">
        <v>8</v>
      </c>
      <c r="Q8">
        <v>9</v>
      </c>
      <c r="R8">
        <v>10</v>
      </c>
      <c r="S8">
        <v>11</v>
      </c>
      <c r="T8">
        <v>12</v>
      </c>
      <c r="U8">
        <v>13</v>
      </c>
      <c r="V8">
        <v>14</v>
      </c>
      <c r="W8">
        <v>15</v>
      </c>
      <c r="X8">
        <v>16</v>
      </c>
      <c r="Y8">
        <v>17</v>
      </c>
      <c r="Z8">
        <v>18</v>
      </c>
      <c r="AA8">
        <v>19</v>
      </c>
      <c r="AB8">
        <v>20</v>
      </c>
      <c r="AC8">
        <v>21</v>
      </c>
      <c r="AD8">
        <v>22</v>
      </c>
      <c r="AE8">
        <v>23</v>
      </c>
      <c r="AF8">
        <v>24</v>
      </c>
      <c r="AG8">
        <v>25</v>
      </c>
      <c r="AH8">
        <v>26</v>
      </c>
      <c r="AI8">
        <v>27</v>
      </c>
      <c r="AJ8">
        <v>28</v>
      </c>
      <c r="AK8">
        <v>29</v>
      </c>
      <c r="AL8">
        <v>30</v>
      </c>
      <c r="AM8">
        <v>31</v>
      </c>
      <c r="AN8">
        <v>32</v>
      </c>
      <c r="AO8">
        <v>33</v>
      </c>
      <c r="AP8">
        <v>34</v>
      </c>
      <c r="AQ8">
        <v>35</v>
      </c>
      <c r="AR8">
        <v>36</v>
      </c>
      <c r="AS8">
        <v>37</v>
      </c>
      <c r="AT8">
        <v>38</v>
      </c>
      <c r="AU8">
        <v>39</v>
      </c>
      <c r="AV8">
        <v>40</v>
      </c>
      <c r="AW8">
        <v>41</v>
      </c>
      <c r="AX8">
        <v>42</v>
      </c>
      <c r="AY8">
        <v>43</v>
      </c>
      <c r="AZ8">
        <v>44</v>
      </c>
      <c r="BA8">
        <v>45</v>
      </c>
      <c r="BB8">
        <v>46</v>
      </c>
      <c r="BC8">
        <v>47</v>
      </c>
      <c r="BD8">
        <v>48</v>
      </c>
      <c r="BE8">
        <v>49</v>
      </c>
      <c r="BF8">
        <v>50</v>
      </c>
      <c r="BG8">
        <v>51</v>
      </c>
      <c r="BH8">
        <v>52</v>
      </c>
      <c r="BI8">
        <v>53</v>
      </c>
      <c r="BJ8">
        <v>54</v>
      </c>
      <c r="BK8">
        <v>55</v>
      </c>
      <c r="BL8">
        <v>56</v>
      </c>
      <c r="BM8">
        <v>57</v>
      </c>
      <c r="BN8">
        <v>58</v>
      </c>
      <c r="BO8">
        <v>59</v>
      </c>
      <c r="BP8">
        <v>60</v>
      </c>
      <c r="BQ8">
        <v>61</v>
      </c>
      <c r="BR8">
        <v>62</v>
      </c>
      <c r="BS8">
        <v>63</v>
      </c>
      <c r="BT8">
        <v>64</v>
      </c>
      <c r="BU8">
        <v>65</v>
      </c>
      <c r="BV8">
        <v>66</v>
      </c>
      <c r="BW8">
        <v>67</v>
      </c>
      <c r="BX8">
        <v>68</v>
      </c>
      <c r="BY8">
        <v>69</v>
      </c>
      <c r="BZ8">
        <v>70</v>
      </c>
      <c r="CA8">
        <v>71</v>
      </c>
      <c r="CB8">
        <v>72</v>
      </c>
      <c r="CC8">
        <v>73</v>
      </c>
      <c r="CD8">
        <v>74</v>
      </c>
      <c r="CE8">
        <v>75</v>
      </c>
      <c r="CF8">
        <v>76</v>
      </c>
      <c r="CG8">
        <v>77</v>
      </c>
      <c r="CH8">
        <v>78</v>
      </c>
      <c r="CI8">
        <v>79</v>
      </c>
      <c r="CJ8">
        <v>80</v>
      </c>
      <c r="CK8">
        <v>81</v>
      </c>
      <c r="CL8">
        <v>82</v>
      </c>
    </row>
    <row r="9" spans="1:259" ht="16.899999999999999" customHeight="1">
      <c r="A9" s="178"/>
      <c r="B9" s="179"/>
      <c r="C9" s="179"/>
      <c r="D9" s="179"/>
      <c r="E9" s="179"/>
      <c r="F9" s="179"/>
      <c r="H9" s="63" t="s">
        <v>145</v>
      </c>
      <c r="I9" s="3">
        <v>10</v>
      </c>
      <c r="J9" s="3">
        <v>10</v>
      </c>
      <c r="K9" s="3">
        <v>11</v>
      </c>
      <c r="L9" s="28">
        <v>11</v>
      </c>
      <c r="M9" s="3">
        <v>10</v>
      </c>
      <c r="N9" s="3">
        <v>10</v>
      </c>
      <c r="O9" s="3">
        <v>11</v>
      </c>
      <c r="P9" s="28">
        <v>11</v>
      </c>
      <c r="Q9" s="3">
        <v>10</v>
      </c>
      <c r="R9" s="3">
        <v>10</v>
      </c>
      <c r="S9" s="3">
        <v>11</v>
      </c>
      <c r="T9" s="28">
        <v>11</v>
      </c>
      <c r="U9" s="3">
        <v>10</v>
      </c>
      <c r="V9" s="3">
        <v>10</v>
      </c>
      <c r="W9" s="3">
        <v>11</v>
      </c>
      <c r="X9" s="28">
        <v>11</v>
      </c>
      <c r="Y9" s="3">
        <v>10</v>
      </c>
      <c r="Z9" s="3">
        <v>10</v>
      </c>
      <c r="AA9" s="3">
        <v>11</v>
      </c>
      <c r="AB9" s="28">
        <v>11</v>
      </c>
      <c r="AC9" s="3">
        <v>10</v>
      </c>
      <c r="AD9" s="3">
        <v>10</v>
      </c>
      <c r="AE9" s="3">
        <v>11</v>
      </c>
      <c r="AF9" s="28">
        <v>11</v>
      </c>
      <c r="AG9" s="3">
        <v>11</v>
      </c>
      <c r="AH9" s="3">
        <v>11</v>
      </c>
      <c r="AI9" s="3">
        <v>10</v>
      </c>
      <c r="AJ9" s="3">
        <v>10</v>
      </c>
      <c r="AK9" s="3">
        <v>11</v>
      </c>
      <c r="AL9" s="28">
        <v>11</v>
      </c>
      <c r="AQ9" s="3">
        <v>8</v>
      </c>
      <c r="AR9" s="3">
        <v>8</v>
      </c>
      <c r="AS9" s="3">
        <v>9</v>
      </c>
      <c r="AT9" s="3">
        <v>9</v>
      </c>
      <c r="AU9" s="66" t="s">
        <v>234</v>
      </c>
      <c r="AV9" s="66" t="s">
        <v>234</v>
      </c>
      <c r="AW9" s="3">
        <v>8</v>
      </c>
      <c r="AX9" s="3">
        <v>8</v>
      </c>
      <c r="AY9" s="3">
        <v>9</v>
      </c>
      <c r="AZ9" s="3">
        <v>9</v>
      </c>
      <c r="BA9" s="3">
        <v>8</v>
      </c>
      <c r="BB9" s="3">
        <v>8</v>
      </c>
      <c r="BC9" s="3">
        <v>9</v>
      </c>
      <c r="BD9" s="3">
        <v>9</v>
      </c>
      <c r="BE9" s="66" t="s">
        <v>234</v>
      </c>
      <c r="BF9" s="66" t="s">
        <v>234</v>
      </c>
      <c r="BG9" s="3">
        <v>8</v>
      </c>
      <c r="BH9" s="3">
        <v>8</v>
      </c>
      <c r="BI9" s="3">
        <v>9</v>
      </c>
      <c r="BJ9" s="3">
        <v>9</v>
      </c>
      <c r="BK9" s="3">
        <v>9</v>
      </c>
      <c r="BL9" s="3">
        <v>9</v>
      </c>
      <c r="BM9" s="3">
        <v>9</v>
      </c>
      <c r="BN9" s="3">
        <v>9</v>
      </c>
    </row>
    <row r="10" spans="1:259" ht="16.899999999999999" customHeight="1">
      <c r="A10" s="10" t="s">
        <v>362</v>
      </c>
      <c r="B10" s="171"/>
      <c r="C10" s="172"/>
      <c r="D10" s="5"/>
      <c r="E10" s="10" t="s">
        <v>138</v>
      </c>
      <c r="F10" s="4" t="s">
        <v>383</v>
      </c>
      <c r="H10" s="63" t="s">
        <v>146</v>
      </c>
      <c r="I10">
        <v>14</v>
      </c>
      <c r="J10">
        <v>14</v>
      </c>
      <c r="K10" s="80" t="s">
        <v>164</v>
      </c>
      <c r="L10" s="80" t="s">
        <v>164</v>
      </c>
      <c r="M10">
        <v>14</v>
      </c>
      <c r="N10">
        <v>14</v>
      </c>
      <c r="O10" s="80" t="s">
        <v>164</v>
      </c>
      <c r="P10" s="80" t="s">
        <v>164</v>
      </c>
      <c r="Q10">
        <v>14</v>
      </c>
      <c r="R10">
        <v>14</v>
      </c>
      <c r="S10" s="80" t="s">
        <v>164</v>
      </c>
      <c r="T10" s="80" t="s">
        <v>164</v>
      </c>
      <c r="U10">
        <v>14</v>
      </c>
      <c r="V10">
        <v>14</v>
      </c>
      <c r="W10" s="80" t="s">
        <v>164</v>
      </c>
      <c r="X10" s="80" t="s">
        <v>164</v>
      </c>
      <c r="Y10">
        <v>14</v>
      </c>
      <c r="Z10">
        <v>14</v>
      </c>
      <c r="AA10" s="80" t="s">
        <v>164</v>
      </c>
      <c r="AB10" s="80" t="s">
        <v>164</v>
      </c>
      <c r="AC10">
        <v>14</v>
      </c>
      <c r="AD10">
        <v>14</v>
      </c>
      <c r="AE10" s="80" t="s">
        <v>164</v>
      </c>
      <c r="AF10" s="80" t="s">
        <v>164</v>
      </c>
      <c r="AG10">
        <v>14</v>
      </c>
      <c r="AH10">
        <v>14</v>
      </c>
      <c r="AI10" s="80" t="s">
        <v>164</v>
      </c>
      <c r="AJ10" s="80" t="s">
        <v>164</v>
      </c>
      <c r="AK10">
        <v>14</v>
      </c>
      <c r="AL10">
        <v>14</v>
      </c>
      <c r="AM10" s="80" t="s">
        <v>164</v>
      </c>
      <c r="AN10" s="80" t="s">
        <v>164</v>
      </c>
      <c r="AO10"/>
      <c r="AP10"/>
      <c r="AS10">
        <v>12</v>
      </c>
      <c r="AT10">
        <v>12</v>
      </c>
      <c r="AU10">
        <v>13</v>
      </c>
      <c r="AV10">
        <v>13</v>
      </c>
      <c r="AW10">
        <v>12</v>
      </c>
      <c r="AX10">
        <v>12</v>
      </c>
      <c r="AY10">
        <v>13</v>
      </c>
      <c r="AZ10">
        <v>13</v>
      </c>
      <c r="BA10">
        <v>12</v>
      </c>
      <c r="BB10">
        <v>12</v>
      </c>
      <c r="BC10">
        <v>13</v>
      </c>
      <c r="BD10">
        <v>13</v>
      </c>
      <c r="BE10">
        <v>12</v>
      </c>
      <c r="BF10">
        <v>12</v>
      </c>
      <c r="BG10">
        <v>13</v>
      </c>
      <c r="BH10">
        <v>13</v>
      </c>
      <c r="BI10">
        <v>12</v>
      </c>
      <c r="BJ10">
        <v>12</v>
      </c>
      <c r="BK10">
        <v>13</v>
      </c>
      <c r="BL10">
        <v>13</v>
      </c>
      <c r="BM10">
        <v>12</v>
      </c>
      <c r="BN10">
        <v>12</v>
      </c>
      <c r="BO10">
        <v>13</v>
      </c>
      <c r="BP10">
        <v>13</v>
      </c>
      <c r="BQ10">
        <v>12</v>
      </c>
      <c r="BR10">
        <v>12</v>
      </c>
      <c r="BS10">
        <v>13</v>
      </c>
      <c r="BT10">
        <v>13</v>
      </c>
      <c r="BU10">
        <v>12</v>
      </c>
      <c r="BV10">
        <v>12</v>
      </c>
      <c r="BW10">
        <v>13</v>
      </c>
      <c r="BX10">
        <v>13</v>
      </c>
    </row>
    <row r="11" spans="1:259" ht="16.899999999999999" customHeight="1">
      <c r="A11" s="7" t="s">
        <v>4</v>
      </c>
      <c r="B11" s="173"/>
      <c r="C11" s="174"/>
      <c r="D11" s="5"/>
      <c r="E11" s="10" t="s">
        <v>140</v>
      </c>
      <c r="F11" s="48">
        <f>IF($F$10="","",VLOOKUP($F$10,$H$2:$J$6,2,FALSE))</f>
        <v>45256</v>
      </c>
      <c r="H11" s="63" t="s">
        <v>156</v>
      </c>
      <c r="I11" s="66" t="s">
        <v>260</v>
      </c>
      <c r="J11" s="66" t="s">
        <v>267</v>
      </c>
      <c r="K11" s="66" t="s">
        <v>262</v>
      </c>
      <c r="L11" s="66" t="s">
        <v>263</v>
      </c>
      <c r="M11" s="66" t="s">
        <v>260</v>
      </c>
      <c r="N11" s="66" t="s">
        <v>261</v>
      </c>
      <c r="O11" s="66" t="s">
        <v>262</v>
      </c>
      <c r="P11" s="66" t="s">
        <v>263</v>
      </c>
      <c r="Q11" s="66" t="s">
        <v>260</v>
      </c>
      <c r="R11" s="66" t="s">
        <v>261</v>
      </c>
      <c r="S11" s="66" t="s">
        <v>260</v>
      </c>
      <c r="T11" s="66" t="s">
        <v>261</v>
      </c>
      <c r="U11" s="66" t="s">
        <v>262</v>
      </c>
      <c r="V11" s="66" t="s">
        <v>263</v>
      </c>
      <c r="W11" s="66" t="s">
        <v>260</v>
      </c>
      <c r="X11" s="66" t="s">
        <v>261</v>
      </c>
      <c r="Y11" s="66" t="s">
        <v>262</v>
      </c>
      <c r="Z11" s="66" t="s">
        <v>263</v>
      </c>
      <c r="AA11" s="66" t="s">
        <v>260</v>
      </c>
      <c r="AB11" s="66" t="s">
        <v>261</v>
      </c>
      <c r="AC11" s="66" t="s">
        <v>262</v>
      </c>
      <c r="AD11" s="66" t="s">
        <v>263</v>
      </c>
      <c r="AE11" s="66" t="s">
        <v>260</v>
      </c>
      <c r="AF11" s="66" t="s">
        <v>261</v>
      </c>
      <c r="AG11" s="66" t="s">
        <v>262</v>
      </c>
      <c r="AH11" s="66" t="s">
        <v>263</v>
      </c>
      <c r="AI11" s="66" t="s">
        <v>260</v>
      </c>
      <c r="AJ11" s="66" t="s">
        <v>261</v>
      </c>
      <c r="AK11" s="66" t="s">
        <v>262</v>
      </c>
      <c r="AL11" s="66" t="s">
        <v>263</v>
      </c>
      <c r="AM11" s="66" t="s">
        <v>260</v>
      </c>
      <c r="AN11" s="66" t="s">
        <v>261</v>
      </c>
      <c r="AO11" s="66" t="s">
        <v>262</v>
      </c>
      <c r="AP11" s="66" t="s">
        <v>263</v>
      </c>
      <c r="AQ11" s="66" t="s">
        <v>260</v>
      </c>
      <c r="AR11" s="66" t="s">
        <v>261</v>
      </c>
      <c r="AS11" s="66" t="s">
        <v>262</v>
      </c>
      <c r="AT11" s="66" t="s">
        <v>263</v>
      </c>
      <c r="AU11" s="66" t="s">
        <v>260</v>
      </c>
      <c r="AV11" s="66" t="s">
        <v>261</v>
      </c>
      <c r="AW11" s="66" t="s">
        <v>260</v>
      </c>
      <c r="AX11" s="66" t="s">
        <v>261</v>
      </c>
      <c r="AY11" s="66" t="s">
        <v>262</v>
      </c>
      <c r="AZ11" s="66" t="s">
        <v>263</v>
      </c>
      <c r="BA11" s="3" t="s">
        <v>260</v>
      </c>
      <c r="BB11" s="3" t="s">
        <v>261</v>
      </c>
      <c r="BC11" s="3" t="s">
        <v>262</v>
      </c>
      <c r="BD11" s="3" t="s">
        <v>263</v>
      </c>
      <c r="BE11" s="3" t="s">
        <v>260</v>
      </c>
      <c r="BF11" s="3" t="s">
        <v>261</v>
      </c>
      <c r="BG11" s="3" t="s">
        <v>262</v>
      </c>
      <c r="BH11" s="3" t="s">
        <v>263</v>
      </c>
      <c r="BI11" s="3" t="s">
        <v>260</v>
      </c>
      <c r="BJ11" s="3" t="s">
        <v>261</v>
      </c>
      <c r="BK11" s="3" t="s">
        <v>262</v>
      </c>
      <c r="BL11" s="3" t="s">
        <v>263</v>
      </c>
      <c r="BM11" s="3" t="s">
        <v>260</v>
      </c>
      <c r="BN11" s="3" t="s">
        <v>261</v>
      </c>
      <c r="BO11" s="3" t="s">
        <v>262</v>
      </c>
      <c r="BP11" s="3" t="s">
        <v>263</v>
      </c>
    </row>
    <row r="12" spans="1:259" ht="16.899999999999999" customHeight="1">
      <c r="A12" s="7" t="s">
        <v>5</v>
      </c>
      <c r="B12" s="175"/>
      <c r="C12" s="176"/>
      <c r="D12" s="5"/>
      <c r="E12" s="10" t="s">
        <v>142</v>
      </c>
      <c r="F12" s="48" t="str">
        <f>IF($F$10="","",VLOOKUP($F$10,$H$2:$J$6,3,FALSE))</f>
        <v>城門谷游泳池</v>
      </c>
      <c r="H12" s="63" t="s">
        <v>105</v>
      </c>
      <c r="I12" s="80" t="s">
        <v>159</v>
      </c>
      <c r="J12" s="80" t="s">
        <v>157</v>
      </c>
      <c r="K12" s="80" t="s">
        <v>160</v>
      </c>
      <c r="L12" s="80" t="s">
        <v>158</v>
      </c>
      <c r="M12" s="80" t="s">
        <v>159</v>
      </c>
      <c r="N12" s="80" t="s">
        <v>157</v>
      </c>
      <c r="O12" s="80" t="s">
        <v>160</v>
      </c>
      <c r="P12" s="80" t="s">
        <v>158</v>
      </c>
      <c r="Q12" s="80" t="s">
        <v>378</v>
      </c>
      <c r="R12" s="80" t="s">
        <v>379</v>
      </c>
      <c r="S12" s="80" t="s">
        <v>159</v>
      </c>
      <c r="T12" s="80" t="s">
        <v>157</v>
      </c>
      <c r="U12" s="80" t="s">
        <v>160</v>
      </c>
      <c r="V12" s="80" t="s">
        <v>158</v>
      </c>
      <c r="W12" s="80" t="s">
        <v>159</v>
      </c>
      <c r="X12" s="80" t="s">
        <v>157</v>
      </c>
      <c r="Y12" s="80" t="s">
        <v>160</v>
      </c>
      <c r="Z12" s="80" t="s">
        <v>158</v>
      </c>
      <c r="AA12" s="80" t="s">
        <v>378</v>
      </c>
      <c r="AB12" s="80" t="s">
        <v>379</v>
      </c>
      <c r="AC12" s="80" t="s">
        <v>159</v>
      </c>
      <c r="AD12" s="80" t="s">
        <v>157</v>
      </c>
      <c r="AE12" s="80" t="s">
        <v>160</v>
      </c>
      <c r="AF12" s="80" t="s">
        <v>158</v>
      </c>
      <c r="AG12" s="80" t="s">
        <v>378</v>
      </c>
      <c r="AH12" s="80" t="s">
        <v>379</v>
      </c>
      <c r="AI12" s="80" t="s">
        <v>159</v>
      </c>
      <c r="AJ12" s="80" t="s">
        <v>157</v>
      </c>
      <c r="AK12" s="80" t="s">
        <v>160</v>
      </c>
      <c r="AL12" s="80" t="s">
        <v>158</v>
      </c>
      <c r="AM12" s="80" t="s">
        <v>159</v>
      </c>
      <c r="AN12" s="80" t="s">
        <v>157</v>
      </c>
      <c r="AO12" s="80" t="s">
        <v>160</v>
      </c>
      <c r="AP12" s="80" t="s">
        <v>158</v>
      </c>
      <c r="AQ12" s="80" t="s">
        <v>378</v>
      </c>
      <c r="AR12" s="80" t="s">
        <v>379</v>
      </c>
      <c r="AS12" s="80" t="s">
        <v>159</v>
      </c>
      <c r="AT12" s="80" t="s">
        <v>157</v>
      </c>
      <c r="AU12" s="80" t="s">
        <v>160</v>
      </c>
      <c r="AV12" s="80" t="s">
        <v>158</v>
      </c>
      <c r="AW12" s="80" t="s">
        <v>159</v>
      </c>
      <c r="AX12" s="80" t="s">
        <v>157</v>
      </c>
      <c r="AY12" s="80" t="s">
        <v>160</v>
      </c>
      <c r="AZ12" s="80" t="s">
        <v>158</v>
      </c>
      <c r="BA12" s="80" t="s">
        <v>378</v>
      </c>
      <c r="BB12" s="80" t="s">
        <v>379</v>
      </c>
      <c r="BC12" s="80" t="s">
        <v>159</v>
      </c>
      <c r="BD12" s="80" t="s">
        <v>157</v>
      </c>
      <c r="BE12" s="80" t="s">
        <v>160</v>
      </c>
      <c r="BF12" s="80" t="s">
        <v>158</v>
      </c>
      <c r="BG12" s="80" t="s">
        <v>159</v>
      </c>
      <c r="BH12" s="80" t="s">
        <v>157</v>
      </c>
      <c r="BI12" s="80" t="s">
        <v>160</v>
      </c>
      <c r="BJ12" s="80" t="s">
        <v>158</v>
      </c>
    </row>
    <row r="13" spans="1:259" ht="16.899999999999999" customHeight="1">
      <c r="A13" s="5"/>
      <c r="B13" s="5"/>
      <c r="C13" s="5"/>
      <c r="D13" s="5"/>
      <c r="E13" s="5"/>
      <c r="F13" s="5"/>
      <c r="H13" s="63" t="s">
        <v>275</v>
      </c>
      <c r="I13" s="66" t="s">
        <v>276</v>
      </c>
      <c r="J13" s="66" t="s">
        <v>276</v>
      </c>
      <c r="K13" s="66">
        <v>10</v>
      </c>
      <c r="L13" s="66">
        <v>10</v>
      </c>
      <c r="M13" s="66">
        <v>11</v>
      </c>
      <c r="N13" s="66">
        <v>11</v>
      </c>
      <c r="O13" s="66">
        <v>12</v>
      </c>
      <c r="P13" s="66">
        <v>12</v>
      </c>
      <c r="Q13" s="66">
        <v>13</v>
      </c>
      <c r="R13" s="66">
        <v>13</v>
      </c>
      <c r="S13" s="66" t="s">
        <v>276</v>
      </c>
      <c r="T13" s="66" t="s">
        <v>276</v>
      </c>
      <c r="U13" s="66">
        <v>10</v>
      </c>
      <c r="V13" s="66">
        <v>10</v>
      </c>
      <c r="W13" s="66">
        <v>11</v>
      </c>
      <c r="X13" s="66">
        <v>11</v>
      </c>
      <c r="Y13" s="66">
        <v>12</v>
      </c>
      <c r="Z13" s="66">
        <v>12</v>
      </c>
      <c r="AA13" s="66">
        <v>13</v>
      </c>
      <c r="AB13" s="66">
        <v>13</v>
      </c>
      <c r="AC13" s="66" t="s">
        <v>276</v>
      </c>
      <c r="AD13" s="66" t="s">
        <v>276</v>
      </c>
      <c r="AE13" s="66">
        <v>10</v>
      </c>
      <c r="AF13" s="66">
        <v>10</v>
      </c>
      <c r="AG13" s="66">
        <v>11</v>
      </c>
      <c r="AH13" s="66">
        <v>11</v>
      </c>
      <c r="AI13" s="66">
        <v>12</v>
      </c>
      <c r="AJ13" s="66">
        <v>12</v>
      </c>
      <c r="AK13" s="66">
        <v>13</v>
      </c>
      <c r="AL13" s="66">
        <v>13</v>
      </c>
      <c r="AM13" s="66" t="s">
        <v>276</v>
      </c>
      <c r="AN13" s="66" t="s">
        <v>276</v>
      </c>
      <c r="AO13" s="66">
        <v>10</v>
      </c>
      <c r="AP13" s="66">
        <v>10</v>
      </c>
      <c r="AQ13" s="66">
        <v>11</v>
      </c>
      <c r="AR13" s="66">
        <v>11</v>
      </c>
      <c r="AS13" s="66">
        <v>12</v>
      </c>
      <c r="AT13" s="66">
        <v>12</v>
      </c>
      <c r="AU13" s="66">
        <v>13</v>
      </c>
      <c r="AV13" s="66">
        <v>13</v>
      </c>
      <c r="AW13" s="66" t="s">
        <v>276</v>
      </c>
      <c r="AX13" s="66" t="s">
        <v>276</v>
      </c>
      <c r="AY13" s="66">
        <v>10</v>
      </c>
      <c r="AZ13" s="66">
        <v>10</v>
      </c>
      <c r="BA13" s="66">
        <v>11</v>
      </c>
      <c r="BB13" s="66">
        <v>11</v>
      </c>
      <c r="BC13" s="66">
        <v>12</v>
      </c>
      <c r="BD13" s="66">
        <v>12</v>
      </c>
      <c r="BE13" s="66">
        <v>13</v>
      </c>
      <c r="BF13" s="66">
        <v>13</v>
      </c>
      <c r="BG13" s="66" t="s">
        <v>276</v>
      </c>
      <c r="BH13" s="66" t="s">
        <v>276</v>
      </c>
      <c r="BI13" s="66">
        <v>10</v>
      </c>
      <c r="BJ13" s="66">
        <v>10</v>
      </c>
      <c r="BK13" s="66">
        <v>11</v>
      </c>
      <c r="BL13" s="66">
        <v>11</v>
      </c>
      <c r="BM13" s="66">
        <v>12</v>
      </c>
      <c r="BN13" s="66">
        <v>12</v>
      </c>
      <c r="BO13" s="66">
        <v>13</v>
      </c>
      <c r="BP13" s="66">
        <v>13</v>
      </c>
      <c r="BQ13" s="66" t="s">
        <v>276</v>
      </c>
      <c r="BR13" s="66" t="s">
        <v>276</v>
      </c>
      <c r="BS13" s="66">
        <v>10</v>
      </c>
      <c r="BT13" s="66">
        <v>10</v>
      </c>
      <c r="BU13" s="66">
        <v>11</v>
      </c>
      <c r="BV13" s="66">
        <v>11</v>
      </c>
      <c r="BW13" s="66">
        <v>12</v>
      </c>
      <c r="BX13" s="66">
        <v>12</v>
      </c>
      <c r="BY13" s="66">
        <v>13</v>
      </c>
      <c r="BZ13" s="66">
        <v>13</v>
      </c>
      <c r="CA13" s="66" t="s">
        <v>276</v>
      </c>
      <c r="CB13" s="66" t="s">
        <v>276</v>
      </c>
      <c r="CC13" s="66">
        <v>10</v>
      </c>
      <c r="CD13" s="66">
        <v>10</v>
      </c>
      <c r="CE13" s="66">
        <v>11</v>
      </c>
      <c r="CF13" s="66">
        <v>11</v>
      </c>
      <c r="CG13" s="66">
        <v>12</v>
      </c>
      <c r="CH13" s="66">
        <v>12</v>
      </c>
      <c r="CI13" s="66">
        <v>13</v>
      </c>
      <c r="CJ13" s="66">
        <v>13</v>
      </c>
      <c r="CK13" s="52" t="s">
        <v>277</v>
      </c>
      <c r="CL13" s="52" t="s">
        <v>277</v>
      </c>
    </row>
    <row r="14" spans="1:259" ht="16.899999999999999" customHeight="1">
      <c r="A14" s="5"/>
      <c r="B14" s="5"/>
      <c r="C14" s="5"/>
      <c r="D14" s="23" t="s">
        <v>6</v>
      </c>
      <c r="E14" s="23" t="s">
        <v>7</v>
      </c>
      <c r="F14" s="165" t="s">
        <v>8</v>
      </c>
    </row>
    <row r="15" spans="1:259" ht="16.899999999999999" customHeight="1">
      <c r="A15" s="5"/>
      <c r="B15" s="5"/>
      <c r="C15" s="23" t="s">
        <v>9</v>
      </c>
      <c r="D15" s="45">
        <f>COUNTA(男!E24:E163)</f>
        <v>0</v>
      </c>
      <c r="E15" s="164">
        <f>H31</f>
        <v>15</v>
      </c>
      <c r="F15" s="24">
        <f>E15*D15</f>
        <v>0</v>
      </c>
      <c r="H15" s="28" t="s">
        <v>149</v>
      </c>
    </row>
    <row r="16" spans="1:259" ht="16.899999999999999" customHeight="1">
      <c r="A16" s="5"/>
      <c r="B16" s="5"/>
      <c r="C16" s="5"/>
      <c r="D16" s="45"/>
      <c r="E16" s="23"/>
      <c r="F16" s="24"/>
      <c r="H16" s="63" t="s">
        <v>145</v>
      </c>
    </row>
    <row r="17" spans="1:88" ht="16.899999999999999" customHeight="1">
      <c r="A17" s="5"/>
      <c r="B17" s="5"/>
      <c r="C17" s="23" t="s">
        <v>10</v>
      </c>
      <c r="D17" s="45">
        <f>COUNTA(女!E24:E159)</f>
        <v>0</v>
      </c>
      <c r="E17" s="164">
        <f>H31</f>
        <v>15</v>
      </c>
      <c r="F17" s="24">
        <f>E17*D17</f>
        <v>0</v>
      </c>
      <c r="H17" s="63" t="s">
        <v>146</v>
      </c>
    </row>
    <row r="18" spans="1:88" ht="16.899999999999999" customHeight="1">
      <c r="A18" s="5"/>
      <c r="B18" s="5"/>
      <c r="C18" s="23"/>
      <c r="D18" s="45"/>
      <c r="F18" s="24"/>
      <c r="H18" s="63" t="s">
        <v>156</v>
      </c>
      <c r="I18" s="3">
        <v>30000</v>
      </c>
      <c r="J18" s="3">
        <v>11003</v>
      </c>
      <c r="K18" s="3">
        <v>30000</v>
      </c>
      <c r="L18" s="3">
        <v>11003</v>
      </c>
      <c r="M18" s="3">
        <v>13656</v>
      </c>
      <c r="N18" s="3">
        <v>32000</v>
      </c>
      <c r="O18" s="3">
        <v>13656</v>
      </c>
      <c r="P18" s="3">
        <v>32000</v>
      </c>
      <c r="Q18" s="3">
        <v>33000</v>
      </c>
      <c r="R18" s="3">
        <v>31500</v>
      </c>
      <c r="S18" s="3">
        <v>14200</v>
      </c>
      <c r="T18" s="3">
        <v>14000</v>
      </c>
      <c r="U18" s="3">
        <v>14200</v>
      </c>
      <c r="V18" s="3">
        <v>14000</v>
      </c>
      <c r="W18" s="3">
        <v>3701</v>
      </c>
      <c r="X18" s="3">
        <v>3755</v>
      </c>
      <c r="Y18" s="3">
        <v>3701</v>
      </c>
      <c r="Z18" s="3">
        <v>3755</v>
      </c>
      <c r="AA18" s="3">
        <v>32500</v>
      </c>
      <c r="AB18" s="3">
        <v>60000</v>
      </c>
      <c r="AC18" s="3">
        <v>32500</v>
      </c>
      <c r="AD18" s="3">
        <v>60000</v>
      </c>
      <c r="AE18" s="3">
        <v>4300</v>
      </c>
      <c r="AF18" s="3">
        <v>3497</v>
      </c>
      <c r="AG18" s="3">
        <v>4300</v>
      </c>
      <c r="AH18" s="3">
        <v>3564</v>
      </c>
      <c r="AI18" s="3">
        <v>0</v>
      </c>
      <c r="AJ18" s="3">
        <v>0</v>
      </c>
      <c r="AK18" s="3">
        <v>0</v>
      </c>
      <c r="AL18" s="3">
        <v>0</v>
      </c>
      <c r="AM18" s="3">
        <v>13199</v>
      </c>
      <c r="AN18" s="3">
        <v>25000</v>
      </c>
      <c r="AO18" s="3">
        <v>13199</v>
      </c>
      <c r="AP18" s="3">
        <v>25000</v>
      </c>
      <c r="AQ18" s="3">
        <v>32000</v>
      </c>
      <c r="AR18" s="3">
        <v>12792</v>
      </c>
      <c r="AS18" s="3">
        <v>32000</v>
      </c>
      <c r="AT18" s="3">
        <v>12792</v>
      </c>
      <c r="AU18" s="3">
        <v>32000</v>
      </c>
      <c r="AV18" s="3">
        <v>32000</v>
      </c>
      <c r="AW18" s="3">
        <v>15000</v>
      </c>
      <c r="AX18" s="3">
        <v>12915</v>
      </c>
      <c r="AY18" s="3">
        <v>15000</v>
      </c>
      <c r="AZ18" s="3">
        <v>12915</v>
      </c>
      <c r="BA18" s="3">
        <v>4406</v>
      </c>
      <c r="BB18" s="3">
        <v>3108</v>
      </c>
      <c r="BC18" s="3">
        <v>4406</v>
      </c>
      <c r="BD18" s="3">
        <v>3108</v>
      </c>
      <c r="BE18" s="3">
        <v>63000</v>
      </c>
      <c r="BF18" s="3">
        <v>30370</v>
      </c>
      <c r="BG18" s="3">
        <v>63000</v>
      </c>
      <c r="BH18" s="3">
        <v>30370</v>
      </c>
      <c r="BI18" s="3">
        <v>4000</v>
      </c>
      <c r="BJ18" s="3">
        <v>3834</v>
      </c>
      <c r="BK18" s="3">
        <v>4000</v>
      </c>
      <c r="BL18" s="3">
        <v>3834</v>
      </c>
      <c r="BM18" s="103">
        <v>0</v>
      </c>
      <c r="BN18" s="103">
        <v>0</v>
      </c>
      <c r="BO18" s="103">
        <v>0</v>
      </c>
      <c r="BP18" s="103">
        <v>0</v>
      </c>
    </row>
    <row r="19" spans="1:88" ht="16.899999999999999" customHeight="1">
      <c r="A19" s="5"/>
      <c r="B19" s="5"/>
      <c r="C19" s="23" t="s">
        <v>11</v>
      </c>
      <c r="D19" s="45">
        <f>COUNTA(男!G16:G19)+COUNTA(女!G16:G20)</f>
        <v>0</v>
      </c>
      <c r="E19" s="164">
        <f>H32</f>
        <v>30</v>
      </c>
      <c r="F19" s="24">
        <f>E19*D19</f>
        <v>0</v>
      </c>
      <c r="H19" s="63" t="s">
        <v>105</v>
      </c>
      <c r="I19">
        <v>13400</v>
      </c>
      <c r="J19">
        <v>13000</v>
      </c>
      <c r="K19">
        <v>13600</v>
      </c>
      <c r="L19">
        <v>13200</v>
      </c>
      <c r="M19">
        <v>4200</v>
      </c>
      <c r="N19">
        <v>3900</v>
      </c>
      <c r="O19">
        <v>4500</v>
      </c>
      <c r="P19">
        <v>4200</v>
      </c>
      <c r="Q19">
        <v>5500</v>
      </c>
      <c r="R19">
        <v>5000</v>
      </c>
      <c r="S19">
        <v>13200</v>
      </c>
      <c r="T19">
        <v>12600</v>
      </c>
      <c r="U19">
        <v>13400</v>
      </c>
      <c r="V19">
        <v>12800</v>
      </c>
      <c r="W19">
        <v>3600</v>
      </c>
      <c r="X19">
        <v>3300</v>
      </c>
      <c r="Y19">
        <v>3900</v>
      </c>
      <c r="Z19">
        <v>3600</v>
      </c>
      <c r="AA19">
        <v>4300</v>
      </c>
      <c r="AB19">
        <v>4000</v>
      </c>
      <c r="AC19"/>
      <c r="AD19"/>
      <c r="AE19"/>
      <c r="AF19"/>
      <c r="AG19"/>
      <c r="AH19"/>
      <c r="AI19">
        <v>13300</v>
      </c>
      <c r="AJ19">
        <v>12600</v>
      </c>
      <c r="AK19">
        <v>13700</v>
      </c>
      <c r="AL19">
        <v>13200</v>
      </c>
      <c r="AM19">
        <v>4000</v>
      </c>
      <c r="AN19">
        <v>3600</v>
      </c>
      <c r="AO19">
        <v>4300</v>
      </c>
      <c r="AP19">
        <v>3800</v>
      </c>
      <c r="AQ19">
        <v>5000</v>
      </c>
      <c r="AR19">
        <v>4500</v>
      </c>
      <c r="AS19">
        <v>13700</v>
      </c>
      <c r="AT19">
        <v>12900</v>
      </c>
      <c r="AU19">
        <v>14200</v>
      </c>
      <c r="AV19">
        <v>13400</v>
      </c>
      <c r="AW19">
        <v>3800</v>
      </c>
      <c r="AX19">
        <v>3500</v>
      </c>
      <c r="AY19">
        <v>4000</v>
      </c>
      <c r="AZ19">
        <v>3800</v>
      </c>
      <c r="BA19">
        <v>5000</v>
      </c>
      <c r="BB19">
        <v>4500</v>
      </c>
      <c r="BC19">
        <v>12000</v>
      </c>
      <c r="BD19">
        <v>11400</v>
      </c>
      <c r="BE19">
        <v>12400</v>
      </c>
      <c r="BF19">
        <v>11900</v>
      </c>
      <c r="BG19"/>
      <c r="BH19"/>
      <c r="BI19"/>
      <c r="BJ19"/>
    </row>
    <row r="20" spans="1:88" ht="16.899999999999999" customHeight="1">
      <c r="A20" s="5"/>
      <c r="B20" s="5"/>
      <c r="C20" s="5"/>
      <c r="D20" s="5"/>
      <c r="E20" s="5"/>
      <c r="F20" s="24"/>
      <c r="H20" s="63" t="s">
        <v>275</v>
      </c>
      <c r="I20" s="156">
        <v>4500</v>
      </c>
      <c r="J20" s="156">
        <v>4400</v>
      </c>
      <c r="K20" s="156">
        <v>4300</v>
      </c>
      <c r="L20" s="156">
        <v>4200</v>
      </c>
      <c r="M20" s="156">
        <v>4100</v>
      </c>
      <c r="N20" s="156">
        <v>4000</v>
      </c>
      <c r="O20" s="156">
        <v>4000</v>
      </c>
      <c r="P20" s="156">
        <v>3900</v>
      </c>
      <c r="Q20" s="156">
        <v>4000</v>
      </c>
      <c r="R20" s="156">
        <v>3900</v>
      </c>
      <c r="S20" s="156">
        <v>4700</v>
      </c>
      <c r="T20" s="156">
        <v>4600</v>
      </c>
      <c r="U20" s="156">
        <v>4600</v>
      </c>
      <c r="V20" s="156">
        <v>4500</v>
      </c>
      <c r="W20" s="156">
        <v>4500</v>
      </c>
      <c r="X20" s="156">
        <v>4400</v>
      </c>
      <c r="Y20" s="156">
        <v>4400</v>
      </c>
      <c r="Z20" s="156">
        <v>4300</v>
      </c>
      <c r="AA20" s="156">
        <v>4300</v>
      </c>
      <c r="AB20" s="156">
        <v>4200</v>
      </c>
      <c r="AC20" s="156">
        <v>15500</v>
      </c>
      <c r="AD20" s="156">
        <v>15300</v>
      </c>
      <c r="AE20" s="156">
        <v>15300</v>
      </c>
      <c r="AF20" s="156">
        <v>15100</v>
      </c>
      <c r="AG20" s="156">
        <v>15100</v>
      </c>
      <c r="AH20" s="156">
        <v>14900</v>
      </c>
      <c r="AI20" s="156">
        <v>14900</v>
      </c>
      <c r="AJ20" s="156">
        <v>14700</v>
      </c>
      <c r="AK20" s="156">
        <v>14700</v>
      </c>
      <c r="AL20" s="156">
        <v>14500</v>
      </c>
      <c r="AM20" s="156">
        <v>14500</v>
      </c>
      <c r="AN20" s="156">
        <v>14300</v>
      </c>
      <c r="AO20" s="156">
        <v>14300</v>
      </c>
      <c r="AP20" s="156">
        <v>14100</v>
      </c>
      <c r="AQ20" s="156">
        <v>14100</v>
      </c>
      <c r="AR20" s="156">
        <v>13900</v>
      </c>
      <c r="AS20" s="156">
        <v>13900</v>
      </c>
      <c r="AT20" s="156">
        <v>13700</v>
      </c>
      <c r="AU20" s="156">
        <v>13900</v>
      </c>
      <c r="AV20" s="156">
        <v>13700</v>
      </c>
      <c r="AW20" s="156">
        <v>14000</v>
      </c>
      <c r="AX20" s="156">
        <v>13800</v>
      </c>
      <c r="AY20" s="156">
        <v>13800</v>
      </c>
      <c r="AZ20" s="156">
        <v>13600</v>
      </c>
      <c r="BA20" s="156">
        <v>13600</v>
      </c>
      <c r="BB20" s="156">
        <v>13400</v>
      </c>
      <c r="BC20" s="156">
        <v>13400</v>
      </c>
      <c r="BD20" s="156">
        <v>13200</v>
      </c>
      <c r="BE20" s="156">
        <v>13200</v>
      </c>
      <c r="BF20" s="156">
        <v>13000</v>
      </c>
      <c r="BG20" s="156">
        <v>15200</v>
      </c>
      <c r="BH20" s="157">
        <v>15000</v>
      </c>
      <c r="BI20" s="156">
        <v>15000</v>
      </c>
      <c r="BJ20" s="157">
        <v>14800</v>
      </c>
      <c r="BK20" s="156">
        <v>14800</v>
      </c>
      <c r="BL20" s="157">
        <v>14600</v>
      </c>
      <c r="BM20" s="156">
        <v>14600</v>
      </c>
      <c r="BN20" s="157">
        <v>14400</v>
      </c>
      <c r="BO20" s="156">
        <v>14500</v>
      </c>
      <c r="BP20" s="157">
        <v>14200</v>
      </c>
      <c r="BQ20" s="157">
        <v>5000</v>
      </c>
      <c r="BR20" s="157">
        <v>4900</v>
      </c>
      <c r="BS20" s="157">
        <v>4900</v>
      </c>
      <c r="BT20" s="157">
        <v>4800</v>
      </c>
      <c r="BU20" s="157">
        <v>4800</v>
      </c>
      <c r="BV20" s="157">
        <v>4700</v>
      </c>
      <c r="BW20" s="157">
        <v>4700</v>
      </c>
      <c r="BX20" s="157">
        <v>4600</v>
      </c>
      <c r="BY20" s="157">
        <v>4600</v>
      </c>
      <c r="BZ20" s="157">
        <v>4500</v>
      </c>
      <c r="CA20" s="157">
        <v>4600</v>
      </c>
      <c r="CB20" s="157">
        <v>4500</v>
      </c>
      <c r="CC20" s="157">
        <v>4500</v>
      </c>
      <c r="CD20" s="157">
        <v>4400</v>
      </c>
      <c r="CE20" s="157">
        <v>4400</v>
      </c>
      <c r="CF20" s="157">
        <v>4300</v>
      </c>
      <c r="CG20" s="157">
        <v>4300</v>
      </c>
      <c r="CH20" s="157">
        <v>4200</v>
      </c>
      <c r="CI20" s="157">
        <v>4200</v>
      </c>
      <c r="CJ20" s="157">
        <v>4100</v>
      </c>
    </row>
    <row r="21" spans="1:88" ht="16.899999999999999" customHeight="1">
      <c r="A21" s="5"/>
      <c r="B21" s="5"/>
      <c r="C21" s="70" t="s">
        <v>266</v>
      </c>
      <c r="D21" s="133">
        <f>男!N2+女!N2</f>
        <v>0</v>
      </c>
      <c r="E21" s="132" t="s">
        <v>233</v>
      </c>
      <c r="F21" s="24">
        <f>E21*D21</f>
        <v>0</v>
      </c>
      <c r="H21" s="2"/>
    </row>
    <row r="22" spans="1:88" ht="16.899999999999999" customHeight="1">
      <c r="A22" s="5"/>
      <c r="B22" s="5"/>
      <c r="C22" s="5"/>
      <c r="D22" s="5"/>
      <c r="E22" s="5"/>
      <c r="F22" s="5"/>
      <c r="H22" s="103" t="s">
        <v>167</v>
      </c>
    </row>
    <row r="23" spans="1:88" ht="16.899999999999999" customHeight="1">
      <c r="C23" s="149" t="s">
        <v>269</v>
      </c>
      <c r="D23" s="167"/>
      <c r="E23" s="167"/>
      <c r="H23" s="63" t="s">
        <v>145</v>
      </c>
      <c r="I23" s="52" t="s">
        <v>217</v>
      </c>
      <c r="J23" s="52" t="s">
        <v>217</v>
      </c>
      <c r="K23" s="52" t="s">
        <v>217</v>
      </c>
      <c r="L23" s="52" t="s">
        <v>217</v>
      </c>
      <c r="M23" s="126" t="s">
        <v>218</v>
      </c>
      <c r="N23" s="126" t="s">
        <v>218</v>
      </c>
      <c r="O23" s="126" t="s">
        <v>218</v>
      </c>
      <c r="P23" s="126" t="s">
        <v>218</v>
      </c>
      <c r="Q23" s="126" t="s">
        <v>220</v>
      </c>
      <c r="R23" s="126" t="s">
        <v>220</v>
      </c>
      <c r="S23" s="126" t="s">
        <v>220</v>
      </c>
      <c r="T23" s="126" t="s">
        <v>220</v>
      </c>
      <c r="U23" s="126" t="s">
        <v>222</v>
      </c>
      <c r="V23" s="3" t="s">
        <v>221</v>
      </c>
      <c r="W23" s="3" t="s">
        <v>221</v>
      </c>
      <c r="X23" s="3" t="s">
        <v>221</v>
      </c>
      <c r="Y23" s="3" t="s">
        <v>223</v>
      </c>
      <c r="Z23" s="3" t="s">
        <v>223</v>
      </c>
      <c r="AA23" s="3" t="s">
        <v>223</v>
      </c>
      <c r="AB23" s="3" t="s">
        <v>223</v>
      </c>
      <c r="AC23" s="3" t="s">
        <v>224</v>
      </c>
      <c r="AD23" s="3" t="s">
        <v>224</v>
      </c>
      <c r="AE23" s="3" t="s">
        <v>224</v>
      </c>
      <c r="AF23" s="3" t="s">
        <v>224</v>
      </c>
      <c r="AG23" s="3" t="s">
        <v>225</v>
      </c>
      <c r="AH23" s="3" t="s">
        <v>226</v>
      </c>
      <c r="AI23" s="3" t="s">
        <v>227</v>
      </c>
      <c r="AJ23" s="3" t="s">
        <v>227</v>
      </c>
      <c r="AK23" s="3" t="s">
        <v>227</v>
      </c>
      <c r="AL23" s="3" t="s">
        <v>227</v>
      </c>
      <c r="AM23" s="3" t="s">
        <v>228</v>
      </c>
      <c r="AN23" s="3" t="s">
        <v>228</v>
      </c>
      <c r="AO23" s="3" t="s">
        <v>229</v>
      </c>
      <c r="AP23" s="3" t="s">
        <v>229</v>
      </c>
      <c r="AQ23" s="3" t="s">
        <v>223</v>
      </c>
      <c r="AR23" s="3" t="s">
        <v>223</v>
      </c>
      <c r="AS23" s="3" t="s">
        <v>223</v>
      </c>
      <c r="AT23" s="3" t="s">
        <v>223</v>
      </c>
      <c r="AU23" s="3" t="s">
        <v>224</v>
      </c>
      <c r="AV23" s="3" t="s">
        <v>224</v>
      </c>
      <c r="AW23" s="3" t="s">
        <v>224</v>
      </c>
      <c r="AX23" s="3" t="s">
        <v>224</v>
      </c>
      <c r="AY23" s="3" t="s">
        <v>224</v>
      </c>
      <c r="AZ23" s="3" t="s">
        <v>224</v>
      </c>
      <c r="BA23" s="126" t="s">
        <v>220</v>
      </c>
      <c r="BB23" s="126" t="s">
        <v>220</v>
      </c>
      <c r="BC23" s="126" t="s">
        <v>219</v>
      </c>
      <c r="BD23" s="126" t="s">
        <v>219</v>
      </c>
      <c r="BE23" s="126" t="s">
        <v>222</v>
      </c>
      <c r="BF23" s="3" t="s">
        <v>221</v>
      </c>
      <c r="BG23" s="3" t="s">
        <v>221</v>
      </c>
      <c r="BH23" s="3" t="s">
        <v>221</v>
      </c>
      <c r="BI23" s="3" t="s">
        <v>221</v>
      </c>
      <c r="BJ23" s="3" t="s">
        <v>221</v>
      </c>
      <c r="BK23" s="126" t="s">
        <v>218</v>
      </c>
      <c r="BL23" s="126" t="s">
        <v>218</v>
      </c>
      <c r="BM23" s="3" t="s">
        <v>227</v>
      </c>
      <c r="BN23" s="3" t="s">
        <v>227</v>
      </c>
    </row>
    <row r="24" spans="1:88" ht="16.899999999999999" customHeight="1">
      <c r="C24" s="149"/>
      <c r="D24" s="150"/>
      <c r="E24" s="150"/>
      <c r="H24" s="63" t="s">
        <v>146</v>
      </c>
      <c r="I24" s="52" t="s">
        <v>217</v>
      </c>
      <c r="J24" s="52" t="s">
        <v>217</v>
      </c>
      <c r="K24" s="52" t="s">
        <v>217</v>
      </c>
      <c r="L24" s="52" t="s">
        <v>217</v>
      </c>
      <c r="M24" s="126" t="s">
        <v>218</v>
      </c>
      <c r="N24" s="126" t="s">
        <v>218</v>
      </c>
      <c r="O24" s="126" t="s">
        <v>218</v>
      </c>
      <c r="P24" s="126" t="s">
        <v>218</v>
      </c>
      <c r="Q24" s="126" t="s">
        <v>220</v>
      </c>
      <c r="R24" s="126" t="s">
        <v>220</v>
      </c>
      <c r="S24" s="126" t="s">
        <v>220</v>
      </c>
      <c r="T24" s="126" t="s">
        <v>220</v>
      </c>
      <c r="U24" s="126" t="s">
        <v>222</v>
      </c>
      <c r="V24" s="3" t="s">
        <v>221</v>
      </c>
      <c r="W24" s="3" t="s">
        <v>221</v>
      </c>
      <c r="X24" s="3" t="s">
        <v>221</v>
      </c>
      <c r="Y24" s="3" t="s">
        <v>223</v>
      </c>
      <c r="Z24" s="3" t="s">
        <v>223</v>
      </c>
      <c r="AA24" s="3" t="s">
        <v>223</v>
      </c>
      <c r="AB24" s="3" t="s">
        <v>223</v>
      </c>
      <c r="AC24" s="3" t="s">
        <v>224</v>
      </c>
      <c r="AD24" s="3" t="s">
        <v>224</v>
      </c>
      <c r="AE24" s="3" t="s">
        <v>224</v>
      </c>
      <c r="AF24" s="3" t="s">
        <v>224</v>
      </c>
      <c r="AG24" s="3" t="s">
        <v>225</v>
      </c>
      <c r="AH24" s="3" t="s">
        <v>226</v>
      </c>
      <c r="AI24" s="3" t="s">
        <v>225</v>
      </c>
      <c r="AJ24" s="3" t="s">
        <v>226</v>
      </c>
      <c r="AK24" s="3" t="s">
        <v>227</v>
      </c>
      <c r="AL24" s="3" t="s">
        <v>227</v>
      </c>
      <c r="AM24" s="3" t="s">
        <v>227</v>
      </c>
      <c r="AN24" s="3" t="s">
        <v>227</v>
      </c>
      <c r="AO24" s="3" t="s">
        <v>228</v>
      </c>
      <c r="AP24" s="3" t="s">
        <v>228</v>
      </c>
      <c r="AQ24" s="3" t="s">
        <v>229</v>
      </c>
      <c r="AR24" s="3" t="s">
        <v>229</v>
      </c>
      <c r="AS24" s="52" t="s">
        <v>217</v>
      </c>
      <c r="AT24" s="52" t="s">
        <v>217</v>
      </c>
      <c r="AU24" s="52" t="s">
        <v>217</v>
      </c>
      <c r="AV24" s="52" t="s">
        <v>217</v>
      </c>
      <c r="AW24" s="126" t="s">
        <v>218</v>
      </c>
      <c r="AX24" s="126" t="s">
        <v>218</v>
      </c>
      <c r="AY24" s="126" t="s">
        <v>218</v>
      </c>
      <c r="AZ24" s="126" t="s">
        <v>218</v>
      </c>
      <c r="BA24" s="126" t="s">
        <v>220</v>
      </c>
      <c r="BB24" s="126" t="s">
        <v>220</v>
      </c>
      <c r="BC24" s="126" t="s">
        <v>220</v>
      </c>
      <c r="BD24" s="126" t="s">
        <v>220</v>
      </c>
      <c r="BE24" s="126" t="s">
        <v>222</v>
      </c>
      <c r="BF24" s="3" t="s">
        <v>221</v>
      </c>
      <c r="BG24" s="3" t="s">
        <v>221</v>
      </c>
      <c r="BH24" s="3" t="s">
        <v>221</v>
      </c>
      <c r="BI24" s="3" t="s">
        <v>223</v>
      </c>
      <c r="BJ24" s="3" t="s">
        <v>223</v>
      </c>
      <c r="BK24" s="3" t="s">
        <v>223</v>
      </c>
      <c r="BL24" s="3" t="s">
        <v>223</v>
      </c>
      <c r="BM24" s="3" t="s">
        <v>224</v>
      </c>
      <c r="BN24" s="3" t="s">
        <v>224</v>
      </c>
      <c r="BO24" s="3" t="s">
        <v>224</v>
      </c>
      <c r="BP24" s="3" t="s">
        <v>224</v>
      </c>
      <c r="BQ24" s="3" t="s">
        <v>225</v>
      </c>
      <c r="BR24" s="3" t="s">
        <v>226</v>
      </c>
      <c r="BS24" s="3" t="s">
        <v>225</v>
      </c>
      <c r="BT24" s="3" t="s">
        <v>226</v>
      </c>
      <c r="BU24" s="3" t="s">
        <v>227</v>
      </c>
      <c r="BV24" s="3" t="s">
        <v>227</v>
      </c>
      <c r="BW24" s="3" t="s">
        <v>227</v>
      </c>
      <c r="BX24" s="3" t="s">
        <v>227</v>
      </c>
    </row>
    <row r="25" spans="1:88" ht="16.899999999999999" customHeight="1">
      <c r="C25" s="149" t="s">
        <v>270</v>
      </c>
      <c r="D25" s="168"/>
      <c r="E25" s="169"/>
      <c r="F25" s="169"/>
      <c r="H25" s="63" t="s">
        <v>156</v>
      </c>
      <c r="I25" s="3" t="s">
        <v>236</v>
      </c>
      <c r="J25" s="3" t="s">
        <v>193</v>
      </c>
      <c r="K25" s="3" t="s">
        <v>237</v>
      </c>
      <c r="L25" s="3" t="s">
        <v>195</v>
      </c>
      <c r="M25" s="3" t="s">
        <v>168</v>
      </c>
      <c r="N25" s="3" t="s">
        <v>238</v>
      </c>
      <c r="O25" s="3" t="s">
        <v>186</v>
      </c>
      <c r="P25" s="3" t="s">
        <v>239</v>
      </c>
      <c r="Q25" s="3" t="s">
        <v>240</v>
      </c>
      <c r="R25" s="3" t="s">
        <v>241</v>
      </c>
      <c r="S25" s="3" t="s">
        <v>169</v>
      </c>
      <c r="T25" s="3" t="s">
        <v>199</v>
      </c>
      <c r="U25" s="3" t="s">
        <v>170</v>
      </c>
      <c r="V25" s="3" t="s">
        <v>201</v>
      </c>
      <c r="W25" s="3" t="s">
        <v>172</v>
      </c>
      <c r="X25" s="3" t="s">
        <v>203</v>
      </c>
      <c r="Y25" s="3" t="s">
        <v>174</v>
      </c>
      <c r="Z25" s="3" t="s">
        <v>205</v>
      </c>
      <c r="AA25" s="3" t="s">
        <v>242</v>
      </c>
      <c r="AB25" s="3" t="s">
        <v>243</v>
      </c>
      <c r="AC25" s="3" t="s">
        <v>244</v>
      </c>
      <c r="AD25" s="3" t="s">
        <v>245</v>
      </c>
      <c r="AE25" s="3" t="s">
        <v>181</v>
      </c>
      <c r="AF25" s="3" t="s">
        <v>189</v>
      </c>
      <c r="AG25" s="3" t="s">
        <v>183</v>
      </c>
      <c r="AH25" s="3" t="s">
        <v>191</v>
      </c>
      <c r="AI25" s="3" t="s">
        <v>246</v>
      </c>
      <c r="AJ25" s="3" t="s">
        <v>108</v>
      </c>
      <c r="AK25" s="3" t="s">
        <v>247</v>
      </c>
      <c r="AL25" s="3" t="s">
        <v>109</v>
      </c>
      <c r="AM25" s="3" t="s">
        <v>192</v>
      </c>
      <c r="AN25" s="3" t="s">
        <v>248</v>
      </c>
      <c r="AO25" s="3" t="s">
        <v>194</v>
      </c>
      <c r="AP25" s="3" t="s">
        <v>249</v>
      </c>
      <c r="AQ25" s="3" t="s">
        <v>250</v>
      </c>
      <c r="AR25" s="3" t="s">
        <v>185</v>
      </c>
      <c r="AS25" s="3" t="s">
        <v>251</v>
      </c>
      <c r="AT25" s="3" t="s">
        <v>187</v>
      </c>
      <c r="AU25" s="3" t="s">
        <v>252</v>
      </c>
      <c r="AV25" s="3" t="s">
        <v>253</v>
      </c>
      <c r="AW25" s="3" t="s">
        <v>198</v>
      </c>
      <c r="AX25" s="3" t="s">
        <v>206</v>
      </c>
      <c r="AY25" s="3" t="s">
        <v>200</v>
      </c>
      <c r="AZ25" s="3" t="s">
        <v>171</v>
      </c>
      <c r="BA25" s="3" t="s">
        <v>202</v>
      </c>
      <c r="BB25" s="3" t="s">
        <v>173</v>
      </c>
      <c r="BC25" s="3" t="s">
        <v>204</v>
      </c>
      <c r="BD25" s="3" t="s">
        <v>175</v>
      </c>
      <c r="BE25" s="3" t="s">
        <v>254</v>
      </c>
      <c r="BF25" s="3" t="s">
        <v>255</v>
      </c>
      <c r="BG25" s="3" t="s">
        <v>256</v>
      </c>
      <c r="BH25" s="3" t="s">
        <v>257</v>
      </c>
      <c r="BI25" s="3" t="s">
        <v>188</v>
      </c>
      <c r="BJ25" s="3" t="s">
        <v>182</v>
      </c>
      <c r="BK25" s="3" t="s">
        <v>190</v>
      </c>
      <c r="BL25" s="3" t="s">
        <v>184</v>
      </c>
      <c r="BM25" s="3" t="s">
        <v>258</v>
      </c>
      <c r="BN25" s="3" t="s">
        <v>110</v>
      </c>
      <c r="BO25" s="3" t="s">
        <v>259</v>
      </c>
      <c r="BP25" s="3" t="s">
        <v>111</v>
      </c>
    </row>
    <row r="26" spans="1:88" ht="16.899999999999999" customHeight="1">
      <c r="C26" s="5"/>
      <c r="D26" s="5"/>
      <c r="E26" s="132" t="s">
        <v>232</v>
      </c>
      <c r="F26" s="24">
        <f>F15+F17+F19+F21</f>
        <v>0</v>
      </c>
      <c r="H26" s="63" t="s">
        <v>105</v>
      </c>
      <c r="I26" t="s">
        <v>198</v>
      </c>
      <c r="J26" t="s">
        <v>199</v>
      </c>
      <c r="K26" t="s">
        <v>200</v>
      </c>
      <c r="L26" t="s">
        <v>201</v>
      </c>
      <c r="M26" t="s">
        <v>202</v>
      </c>
      <c r="N26" t="s">
        <v>203</v>
      </c>
      <c r="O26" t="s">
        <v>204</v>
      </c>
      <c r="P26" t="s">
        <v>205</v>
      </c>
      <c r="Q26" t="s">
        <v>368</v>
      </c>
      <c r="R26" t="s">
        <v>369</v>
      </c>
      <c r="S26" t="s">
        <v>169</v>
      </c>
      <c r="T26" t="s">
        <v>206</v>
      </c>
      <c r="U26" t="s">
        <v>170</v>
      </c>
      <c r="V26" t="s">
        <v>171</v>
      </c>
      <c r="W26" t="s">
        <v>172</v>
      </c>
      <c r="X26" t="s">
        <v>173</v>
      </c>
      <c r="Y26" t="s">
        <v>174</v>
      </c>
      <c r="Z26" t="s">
        <v>175</v>
      </c>
      <c r="AA26" t="s">
        <v>370</v>
      </c>
      <c r="AB26" t="s">
        <v>371</v>
      </c>
      <c r="AC26" t="s">
        <v>176</v>
      </c>
      <c r="AD26" t="s">
        <v>112</v>
      </c>
      <c r="AE26" t="s">
        <v>207</v>
      </c>
      <c r="AF26" t="s">
        <v>113</v>
      </c>
      <c r="AG26" t="s">
        <v>372</v>
      </c>
      <c r="AH26" t="s">
        <v>373</v>
      </c>
      <c r="AI26" t="s">
        <v>177</v>
      </c>
      <c r="AJ26" t="s">
        <v>178</v>
      </c>
      <c r="AK26" t="s">
        <v>179</v>
      </c>
      <c r="AL26" t="s">
        <v>180</v>
      </c>
      <c r="AM26" t="s">
        <v>181</v>
      </c>
      <c r="AN26" t="s">
        <v>182</v>
      </c>
      <c r="AO26" t="s">
        <v>183</v>
      </c>
      <c r="AP26" t="s">
        <v>184</v>
      </c>
      <c r="AQ26" t="s">
        <v>374</v>
      </c>
      <c r="AR26" t="s">
        <v>375</v>
      </c>
      <c r="AS26" t="s">
        <v>168</v>
      </c>
      <c r="AT26" t="s">
        <v>185</v>
      </c>
      <c r="AU26" t="s">
        <v>186</v>
      </c>
      <c r="AV26" t="s">
        <v>187</v>
      </c>
      <c r="AW26" t="s">
        <v>188</v>
      </c>
      <c r="AX26" t="s">
        <v>189</v>
      </c>
      <c r="AY26" t="s">
        <v>190</v>
      </c>
      <c r="AZ26" t="s">
        <v>191</v>
      </c>
      <c r="BA26" t="s">
        <v>376</v>
      </c>
      <c r="BB26" t="s">
        <v>377</v>
      </c>
      <c r="BC26" t="s">
        <v>192</v>
      </c>
      <c r="BD26" t="s">
        <v>193</v>
      </c>
      <c r="BE26" t="s">
        <v>194</v>
      </c>
      <c r="BF26" t="s">
        <v>195</v>
      </c>
      <c r="BG26" t="s">
        <v>196</v>
      </c>
      <c r="BH26" t="s">
        <v>114</v>
      </c>
      <c r="BI26" t="s">
        <v>197</v>
      </c>
      <c r="BJ26" t="s">
        <v>115</v>
      </c>
    </row>
    <row r="27" spans="1:88" ht="16.899999999999999" customHeight="1">
      <c r="C27" s="5"/>
      <c r="D27" s="5"/>
      <c r="H27" s="63" t="s">
        <v>275</v>
      </c>
      <c r="I27" s="158" t="s">
        <v>282</v>
      </c>
      <c r="J27" s="158" t="s">
        <v>302</v>
      </c>
      <c r="K27" s="158" t="s">
        <v>283</v>
      </c>
      <c r="L27" s="158" t="s">
        <v>303</v>
      </c>
      <c r="M27" s="158" t="s">
        <v>284</v>
      </c>
      <c r="N27" s="158" t="s">
        <v>304</v>
      </c>
      <c r="O27" s="158" t="s">
        <v>285</v>
      </c>
      <c r="P27" s="158" t="s">
        <v>305</v>
      </c>
      <c r="Q27" s="158" t="s">
        <v>286</v>
      </c>
      <c r="R27" s="158" t="s">
        <v>306</v>
      </c>
      <c r="S27" s="158" t="s">
        <v>287</v>
      </c>
      <c r="T27" s="158" t="s">
        <v>307</v>
      </c>
      <c r="U27" s="158" t="s">
        <v>288</v>
      </c>
      <c r="V27" s="158" t="s">
        <v>308</v>
      </c>
      <c r="W27" s="158" t="s">
        <v>289</v>
      </c>
      <c r="X27" s="158" t="s">
        <v>309</v>
      </c>
      <c r="Y27" s="158" t="s">
        <v>290</v>
      </c>
      <c r="Z27" s="158" t="s">
        <v>310</v>
      </c>
      <c r="AA27" s="158" t="s">
        <v>291</v>
      </c>
      <c r="AB27" s="158" t="s">
        <v>311</v>
      </c>
      <c r="AC27" s="158" t="s">
        <v>292</v>
      </c>
      <c r="AD27" s="158" t="s">
        <v>312</v>
      </c>
      <c r="AE27" s="158" t="s">
        <v>293</v>
      </c>
      <c r="AF27" s="158" t="s">
        <v>313</v>
      </c>
      <c r="AG27" s="158" t="s">
        <v>294</v>
      </c>
      <c r="AH27" s="158" t="s">
        <v>314</v>
      </c>
      <c r="AI27" s="158" t="s">
        <v>295</v>
      </c>
      <c r="AJ27" s="158" t="s">
        <v>315</v>
      </c>
      <c r="AK27" s="158" t="s">
        <v>296</v>
      </c>
      <c r="AL27" s="158" t="s">
        <v>316</v>
      </c>
      <c r="AM27" s="158" t="s">
        <v>297</v>
      </c>
      <c r="AN27" s="158" t="s">
        <v>317</v>
      </c>
      <c r="AO27" s="158" t="s">
        <v>298</v>
      </c>
      <c r="AP27" s="158" t="s">
        <v>318</v>
      </c>
      <c r="AQ27" s="158" t="s">
        <v>299</v>
      </c>
      <c r="AR27" s="158" t="s">
        <v>319</v>
      </c>
      <c r="AS27" s="158" t="s">
        <v>300</v>
      </c>
      <c r="AT27" s="158" t="s">
        <v>320</v>
      </c>
      <c r="AU27" s="158" t="s">
        <v>301</v>
      </c>
      <c r="AV27" s="158" t="s">
        <v>321</v>
      </c>
      <c r="AW27" s="159" t="s">
        <v>322</v>
      </c>
      <c r="AX27" s="160" t="s">
        <v>342</v>
      </c>
      <c r="AY27" s="159" t="s">
        <v>323</v>
      </c>
      <c r="AZ27" s="160" t="s">
        <v>343</v>
      </c>
      <c r="BA27" s="159" t="s">
        <v>324</v>
      </c>
      <c r="BB27" s="160" t="s">
        <v>344</v>
      </c>
      <c r="BC27" s="159" t="s">
        <v>325</v>
      </c>
      <c r="BD27" s="160" t="s">
        <v>345</v>
      </c>
      <c r="BE27" s="159" t="s">
        <v>326</v>
      </c>
      <c r="BF27" s="160" t="s">
        <v>346</v>
      </c>
      <c r="BG27" s="159" t="s">
        <v>327</v>
      </c>
      <c r="BH27" s="160" t="s">
        <v>347</v>
      </c>
      <c r="BI27" s="159" t="s">
        <v>328</v>
      </c>
      <c r="BJ27" s="160" t="s">
        <v>348</v>
      </c>
      <c r="BK27" s="159" t="s">
        <v>329</v>
      </c>
      <c r="BL27" s="160" t="s">
        <v>349</v>
      </c>
      <c r="BM27" s="159" t="s">
        <v>330</v>
      </c>
      <c r="BN27" s="160" t="s">
        <v>350</v>
      </c>
      <c r="BO27" s="159" t="s">
        <v>331</v>
      </c>
      <c r="BP27" s="160" t="s">
        <v>351</v>
      </c>
      <c r="BQ27" s="159" t="s">
        <v>332</v>
      </c>
      <c r="BR27" s="160" t="s">
        <v>352</v>
      </c>
      <c r="BS27" s="160" t="s">
        <v>333</v>
      </c>
      <c r="BT27" s="160" t="s">
        <v>353</v>
      </c>
      <c r="BU27" s="159" t="s">
        <v>334</v>
      </c>
      <c r="BV27" s="160" t="s">
        <v>354</v>
      </c>
      <c r="BW27" s="160" t="s">
        <v>335</v>
      </c>
      <c r="BX27" s="160" t="s">
        <v>355</v>
      </c>
      <c r="BY27" s="159" t="s">
        <v>336</v>
      </c>
      <c r="BZ27" s="160" t="s">
        <v>356</v>
      </c>
      <c r="CA27" s="160" t="s">
        <v>337</v>
      </c>
      <c r="CB27" s="160" t="s">
        <v>357</v>
      </c>
      <c r="CC27" s="159" t="s">
        <v>338</v>
      </c>
      <c r="CD27" s="160" t="s">
        <v>358</v>
      </c>
      <c r="CE27" s="160" t="s">
        <v>339</v>
      </c>
      <c r="CF27" s="160" t="s">
        <v>359</v>
      </c>
      <c r="CG27" s="159" t="s">
        <v>340</v>
      </c>
      <c r="CH27" s="160" t="s">
        <v>360</v>
      </c>
      <c r="CI27" s="160" t="s">
        <v>341</v>
      </c>
      <c r="CJ27" s="160" t="s">
        <v>361</v>
      </c>
    </row>
    <row r="28" spans="1:88" ht="16.899999999999999" customHeight="1">
      <c r="A28" s="5"/>
      <c r="B28" s="5"/>
      <c r="C28" s="5"/>
      <c r="D28" s="5"/>
      <c r="E28" s="5"/>
      <c r="F28" s="5"/>
      <c r="H28" s="63"/>
    </row>
    <row r="29" spans="1:88" ht="16.899999999999999" customHeight="1">
      <c r="A29" s="166" t="s">
        <v>12</v>
      </c>
      <c r="B29" s="166"/>
      <c r="C29" s="5"/>
      <c r="D29" s="5"/>
      <c r="E29" s="5"/>
      <c r="F29" s="5"/>
      <c r="H29" s="3" t="str">
        <f>F10</f>
        <v>周年(短池)游泳錦標賽</v>
      </c>
      <c r="J29" s="28" t="s">
        <v>147</v>
      </c>
      <c r="K29" s="28" t="s">
        <v>149</v>
      </c>
      <c r="L29" s="52" t="s">
        <v>167</v>
      </c>
    </row>
    <row r="30" spans="1:88" ht="16.899999999999999" customHeight="1">
      <c r="A30" s="5"/>
      <c r="B30" s="5"/>
      <c r="C30" s="5"/>
      <c r="D30" s="5"/>
      <c r="E30" s="5"/>
      <c r="F30" s="5"/>
      <c r="H30" s="3" t="str">
        <f>VLOOKUP($H$29,$H$2:$M$6,5,FALSE)</f>
        <v>短池</v>
      </c>
      <c r="I30" s="3">
        <v>1</v>
      </c>
      <c r="J30" s="65" t="str">
        <f t="shared" ref="J30:J61" si="0">IF(VLOOKUP($H$30,$H$9:$CL$14,I30+1,FALSE)=0,"",VLOOKUP($H$30,$H$9:$CL$14,I30+1,FALSE))</f>
        <v>C</v>
      </c>
      <c r="K30" s="65">
        <f t="shared" ref="K30:K61" si="1">IF(VLOOKUP($H$30,$H$16:$CL$20,I30+1,FALSE)=0,"",VLOOKUP($H$30,$H$16:$CL$20,I30+1,FALSE))</f>
        <v>13400</v>
      </c>
      <c r="L30" s="65" t="str">
        <f t="shared" ref="L30:L61" si="2">IF(VLOOKUP($H$30,$H$23:$CL$27,I30+1,FALSE)=0,"",VLOOKUP($H$30,$H$23:$CL$27,I30+1,FALSE))</f>
        <v>女甲 100米背泳</v>
      </c>
    </row>
    <row r="31" spans="1:88" ht="16.899999999999999" customHeight="1">
      <c r="A31" s="166" t="s">
        <v>13</v>
      </c>
      <c r="B31" s="166"/>
      <c r="C31" s="5"/>
      <c r="E31" s="5"/>
      <c r="F31" s="5"/>
      <c r="H31" s="3">
        <f>VLOOKUP($H$30,$L$2:$AP$6,30,FALSE)</f>
        <v>15</v>
      </c>
      <c r="I31" s="3">
        <v>2</v>
      </c>
      <c r="J31" s="65" t="str">
        <f t="shared" si="0"/>
        <v>A</v>
      </c>
      <c r="K31" s="65">
        <f t="shared" si="1"/>
        <v>13000</v>
      </c>
      <c r="L31" s="65" t="str">
        <f t="shared" si="2"/>
        <v>男甲 100米背泳</v>
      </c>
    </row>
    <row r="32" spans="1:88" ht="16.899999999999999" customHeight="1">
      <c r="A32" s="5"/>
      <c r="B32" s="5"/>
      <c r="C32" s="2"/>
      <c r="D32" s="2"/>
      <c r="E32" s="2"/>
      <c r="F32" s="2"/>
      <c r="H32" s="3">
        <f>VLOOKUP($H$30,$L$2:$AP$6,31,FALSE)</f>
        <v>30</v>
      </c>
      <c r="I32" s="3">
        <v>3</v>
      </c>
      <c r="J32" s="65" t="str">
        <f t="shared" si="0"/>
        <v>D</v>
      </c>
      <c r="K32" s="65">
        <f t="shared" si="1"/>
        <v>13600</v>
      </c>
      <c r="L32" s="65" t="str">
        <f t="shared" si="2"/>
        <v>女乙 100米背泳</v>
      </c>
    </row>
    <row r="33" spans="1:12" ht="16.899999999999999" customHeight="1">
      <c r="A33" s="166" t="s">
        <v>14</v>
      </c>
      <c r="B33" s="166"/>
      <c r="C33" s="2"/>
      <c r="D33" s="2"/>
      <c r="E33" s="2"/>
      <c r="F33" s="2"/>
      <c r="I33" s="3">
        <v>4</v>
      </c>
      <c r="J33" s="65" t="str">
        <f t="shared" si="0"/>
        <v>B</v>
      </c>
      <c r="K33" s="65">
        <f t="shared" si="1"/>
        <v>13200</v>
      </c>
      <c r="L33" s="65" t="str">
        <f t="shared" si="2"/>
        <v>男乙 100米背泳</v>
      </c>
    </row>
    <row r="34" spans="1:12" ht="16.899999999999999" customHeight="1">
      <c r="A34" s="2"/>
      <c r="B34" s="2"/>
      <c r="C34" s="2"/>
      <c r="D34" s="2"/>
      <c r="E34" s="112"/>
      <c r="F34" s="2"/>
      <c r="I34" s="3">
        <v>5</v>
      </c>
      <c r="J34" s="65" t="str">
        <f t="shared" si="0"/>
        <v>C</v>
      </c>
      <c r="K34" s="65">
        <f t="shared" si="1"/>
        <v>4200</v>
      </c>
      <c r="L34" s="65" t="str">
        <f t="shared" si="2"/>
        <v>女甲 50米蛙泳</v>
      </c>
    </row>
    <row r="35" spans="1:12" ht="16.899999999999999" customHeight="1">
      <c r="A35" s="2"/>
      <c r="B35" s="2"/>
      <c r="C35" s="2"/>
      <c r="D35" s="2"/>
      <c r="E35" s="113"/>
      <c r="F35" s="2"/>
      <c r="H35" s="28" t="s">
        <v>235</v>
      </c>
      <c r="I35" s="3">
        <v>6</v>
      </c>
      <c r="J35" s="65" t="str">
        <f t="shared" si="0"/>
        <v>A</v>
      </c>
      <c r="K35" s="65">
        <f t="shared" si="1"/>
        <v>3900</v>
      </c>
      <c r="L35" s="65" t="str">
        <f t="shared" si="2"/>
        <v>男甲 50米蛙泳</v>
      </c>
    </row>
    <row r="36" spans="1:12" ht="16.899999999999999" customHeight="1">
      <c r="A36" s="52"/>
      <c r="H36" s="28" t="s">
        <v>271</v>
      </c>
      <c r="I36" s="3">
        <v>7</v>
      </c>
      <c r="J36" s="65" t="str">
        <f t="shared" si="0"/>
        <v>D</v>
      </c>
      <c r="K36" s="65">
        <f t="shared" si="1"/>
        <v>4500</v>
      </c>
      <c r="L36" s="65" t="str">
        <f t="shared" si="2"/>
        <v>女乙 50米蛙泳</v>
      </c>
    </row>
    <row r="37" spans="1:12" ht="16.899999999999999" customHeight="1">
      <c r="A37" s="52"/>
      <c r="H37" s="28" t="s">
        <v>272</v>
      </c>
      <c r="I37" s="3">
        <v>8</v>
      </c>
      <c r="J37" s="65" t="str">
        <f t="shared" si="0"/>
        <v>B</v>
      </c>
      <c r="K37" s="65">
        <f t="shared" si="1"/>
        <v>4200</v>
      </c>
      <c r="L37" s="65" t="str">
        <f t="shared" si="2"/>
        <v>男乙 50米蛙泳</v>
      </c>
    </row>
    <row r="38" spans="1:12" ht="16.899999999999999" customHeight="1">
      <c r="A38" s="52"/>
      <c r="C38" s="52"/>
      <c r="H38" s="28"/>
      <c r="I38" s="3">
        <v>9</v>
      </c>
      <c r="J38" s="65" t="str">
        <f t="shared" si="0"/>
        <v>F</v>
      </c>
      <c r="K38" s="65">
        <f t="shared" si="1"/>
        <v>5500</v>
      </c>
      <c r="L38" s="65" t="str">
        <f t="shared" si="2"/>
        <v>女丙 50米蛙泳</v>
      </c>
    </row>
    <row r="39" spans="1:12" ht="16.899999999999999" customHeight="1">
      <c r="A39" s="152"/>
      <c r="B39" s="152"/>
      <c r="C39" s="152"/>
      <c r="D39" s="52"/>
      <c r="I39" s="3">
        <v>10</v>
      </c>
      <c r="J39" s="65" t="str">
        <f t="shared" si="0"/>
        <v>E</v>
      </c>
      <c r="K39" s="65">
        <f t="shared" si="1"/>
        <v>5000</v>
      </c>
      <c r="L39" s="65" t="str">
        <f t="shared" si="2"/>
        <v>男丙 50米蛙泳</v>
      </c>
    </row>
    <row r="40" spans="1:12" ht="16.5" customHeight="1">
      <c r="A40" s="152"/>
      <c r="B40" s="152"/>
      <c r="C40" s="152"/>
      <c r="D40" s="52"/>
      <c r="I40" s="3">
        <v>11</v>
      </c>
      <c r="J40" s="65" t="str">
        <f t="shared" si="0"/>
        <v>C</v>
      </c>
      <c r="K40" s="65">
        <f t="shared" si="1"/>
        <v>13200</v>
      </c>
      <c r="L40" s="65" t="str">
        <f t="shared" si="2"/>
        <v>女甲 100米蝶泳</v>
      </c>
    </row>
    <row r="41" spans="1:12" ht="16.5" customHeight="1">
      <c r="A41" s="152"/>
      <c r="B41" s="152"/>
      <c r="C41" s="152"/>
      <c r="D41" s="52"/>
      <c r="I41" s="3">
        <v>12</v>
      </c>
      <c r="J41" s="65" t="str">
        <f t="shared" si="0"/>
        <v>A</v>
      </c>
      <c r="K41" s="65">
        <f t="shared" si="1"/>
        <v>12600</v>
      </c>
      <c r="L41" s="65" t="str">
        <f t="shared" si="2"/>
        <v>男甲 100米蝶泳</v>
      </c>
    </row>
    <row r="42" spans="1:12" ht="16.5" customHeight="1">
      <c r="A42" s="152"/>
      <c r="B42" s="152"/>
      <c r="C42" s="152"/>
      <c r="D42" s="52"/>
      <c r="I42" s="3">
        <v>13</v>
      </c>
      <c r="J42" s="65" t="str">
        <f t="shared" si="0"/>
        <v>D</v>
      </c>
      <c r="K42" s="65">
        <f t="shared" si="1"/>
        <v>13400</v>
      </c>
      <c r="L42" s="65" t="str">
        <f t="shared" si="2"/>
        <v>女乙 100米蝶泳</v>
      </c>
    </row>
    <row r="43" spans="1:12" ht="16.5" customHeight="1">
      <c r="A43" s="152"/>
      <c r="B43" s="152"/>
      <c r="C43" s="152"/>
      <c r="D43" s="52"/>
      <c r="I43" s="3">
        <v>14</v>
      </c>
      <c r="J43" s="65" t="str">
        <f t="shared" si="0"/>
        <v>B</v>
      </c>
      <c r="K43" s="65">
        <f t="shared" si="1"/>
        <v>12800</v>
      </c>
      <c r="L43" s="65" t="str">
        <f t="shared" si="2"/>
        <v>男乙 100米蝶泳</v>
      </c>
    </row>
    <row r="44" spans="1:12" ht="16.5" customHeight="1">
      <c r="A44" s="152"/>
      <c r="B44" s="152"/>
      <c r="C44" s="152"/>
      <c r="D44" s="52"/>
      <c r="I44" s="3">
        <v>15</v>
      </c>
      <c r="J44" s="65" t="str">
        <f t="shared" si="0"/>
        <v>C</v>
      </c>
      <c r="K44" s="65">
        <f t="shared" si="1"/>
        <v>3600</v>
      </c>
      <c r="L44" s="65" t="str">
        <f t="shared" si="2"/>
        <v>女甲 50米自由泳</v>
      </c>
    </row>
    <row r="45" spans="1:12" ht="16.5" customHeight="1">
      <c r="A45" s="152"/>
      <c r="B45" s="152"/>
      <c r="C45" s="152"/>
      <c r="D45" s="52"/>
      <c r="I45" s="3">
        <v>16</v>
      </c>
      <c r="J45" s="65" t="str">
        <f t="shared" si="0"/>
        <v>A</v>
      </c>
      <c r="K45" s="65">
        <f t="shared" si="1"/>
        <v>3300</v>
      </c>
      <c r="L45" s="65" t="str">
        <f t="shared" si="2"/>
        <v>男甲 50米自由泳</v>
      </c>
    </row>
    <row r="46" spans="1:12" ht="16.5" customHeight="1">
      <c r="A46" s="152"/>
      <c r="B46" s="152"/>
      <c r="C46" s="152"/>
      <c r="D46" s="52"/>
      <c r="I46" s="3">
        <v>17</v>
      </c>
      <c r="J46" s="65" t="str">
        <f t="shared" si="0"/>
        <v>D</v>
      </c>
      <c r="K46" s="65">
        <f t="shared" si="1"/>
        <v>3900</v>
      </c>
      <c r="L46" s="65" t="str">
        <f t="shared" si="2"/>
        <v>女乙 50米自由泳</v>
      </c>
    </row>
    <row r="47" spans="1:12" ht="16.5" customHeight="1">
      <c r="A47" s="152"/>
      <c r="B47" s="152"/>
      <c r="C47" s="152"/>
      <c r="D47" s="52"/>
      <c r="I47" s="3">
        <v>18</v>
      </c>
      <c r="J47" s="65" t="str">
        <f t="shared" si="0"/>
        <v>B</v>
      </c>
      <c r="K47" s="65">
        <f t="shared" si="1"/>
        <v>3600</v>
      </c>
      <c r="L47" s="65" t="str">
        <f t="shared" si="2"/>
        <v>男乙 50米自由泳</v>
      </c>
    </row>
    <row r="48" spans="1:12" ht="16.5" customHeight="1">
      <c r="A48" s="152"/>
      <c r="B48" s="152"/>
      <c r="C48" s="152"/>
      <c r="D48" s="52"/>
      <c r="I48" s="3">
        <v>19</v>
      </c>
      <c r="J48" s="65" t="str">
        <f t="shared" si="0"/>
        <v>F</v>
      </c>
      <c r="K48" s="65">
        <f t="shared" si="1"/>
        <v>4300</v>
      </c>
      <c r="L48" s="65" t="str">
        <f t="shared" si="2"/>
        <v>女丙 50米自由泳</v>
      </c>
    </row>
    <row r="49" spans="1:12" ht="16.5" customHeight="1">
      <c r="A49" s="152"/>
      <c r="B49" s="152"/>
      <c r="C49" s="152"/>
      <c r="D49" s="52"/>
      <c r="I49" s="3">
        <v>20</v>
      </c>
      <c r="J49" s="65" t="str">
        <f t="shared" si="0"/>
        <v>E</v>
      </c>
      <c r="K49" s="65">
        <f t="shared" si="1"/>
        <v>4000</v>
      </c>
      <c r="L49" s="65" t="str">
        <f t="shared" si="2"/>
        <v>男丙 50米自由泳</v>
      </c>
    </row>
    <row r="50" spans="1:12" ht="16.5" customHeight="1">
      <c r="A50" s="152"/>
      <c r="B50" s="152"/>
      <c r="C50" s="152"/>
      <c r="D50" s="52"/>
      <c r="I50" s="3">
        <v>21</v>
      </c>
      <c r="J50" s="65" t="str">
        <f t="shared" si="0"/>
        <v>C</v>
      </c>
      <c r="K50" s="65" t="str">
        <f t="shared" si="1"/>
        <v/>
      </c>
      <c r="L50" s="65" t="str">
        <f t="shared" si="2"/>
        <v>女甲 4X50米自由泳接力</v>
      </c>
    </row>
    <row r="51" spans="1:12" ht="16.5" customHeight="1">
      <c r="A51" s="152"/>
      <c r="B51" s="152"/>
      <c r="C51" s="152"/>
      <c r="D51" s="52"/>
      <c r="I51" s="3">
        <v>22</v>
      </c>
      <c r="J51" s="65" t="str">
        <f t="shared" si="0"/>
        <v>A</v>
      </c>
      <c r="K51" s="65" t="str">
        <f t="shared" si="1"/>
        <v/>
      </c>
      <c r="L51" s="65" t="str">
        <f t="shared" si="2"/>
        <v>男甲 4X50米自由泳接力</v>
      </c>
    </row>
    <row r="52" spans="1:12" ht="16.5" customHeight="1">
      <c r="A52" s="152"/>
      <c r="B52" s="152"/>
      <c r="C52" s="152"/>
      <c r="D52" s="52"/>
      <c r="I52" s="3">
        <v>23</v>
      </c>
      <c r="J52" s="65" t="str">
        <f t="shared" si="0"/>
        <v>D</v>
      </c>
      <c r="K52" s="65" t="str">
        <f t="shared" si="1"/>
        <v/>
      </c>
      <c r="L52" s="65" t="str">
        <f t="shared" si="2"/>
        <v>女乙 4X50米自由泳接力</v>
      </c>
    </row>
    <row r="53" spans="1:12" ht="16.5" customHeight="1">
      <c r="A53" s="152"/>
      <c r="B53" s="152"/>
      <c r="C53" s="152"/>
      <c r="D53" s="52"/>
      <c r="I53" s="3">
        <v>24</v>
      </c>
      <c r="J53" s="65" t="str">
        <f t="shared" si="0"/>
        <v>B</v>
      </c>
      <c r="K53" s="65" t="str">
        <f t="shared" si="1"/>
        <v/>
      </c>
      <c r="L53" s="65" t="str">
        <f t="shared" si="2"/>
        <v>男乙 4X50米自由泳接力</v>
      </c>
    </row>
    <row r="54" spans="1:12" ht="16.5" customHeight="1">
      <c r="A54" s="152"/>
      <c r="B54" s="152"/>
      <c r="C54" s="152"/>
      <c r="D54" s="52"/>
      <c r="I54" s="3">
        <v>25</v>
      </c>
      <c r="J54" s="65" t="str">
        <f t="shared" si="0"/>
        <v>F</v>
      </c>
      <c r="K54" s="65" t="str">
        <f t="shared" si="1"/>
        <v/>
      </c>
      <c r="L54" s="65" t="str">
        <f t="shared" si="2"/>
        <v>女丙 4X50米自由泳接力</v>
      </c>
    </row>
    <row r="55" spans="1:12" ht="16.5" customHeight="1">
      <c r="A55" s="152"/>
      <c r="B55" s="152"/>
      <c r="C55" s="152"/>
      <c r="D55" s="52"/>
      <c r="I55" s="3">
        <v>26</v>
      </c>
      <c r="J55" s="65" t="str">
        <f t="shared" si="0"/>
        <v>E</v>
      </c>
      <c r="K55" s="65" t="str">
        <f t="shared" si="1"/>
        <v/>
      </c>
      <c r="L55" s="65" t="str">
        <f t="shared" si="2"/>
        <v>男丙 4X50米自由泳接力</v>
      </c>
    </row>
    <row r="56" spans="1:12" ht="16.5" customHeight="1">
      <c r="A56" s="152"/>
      <c r="B56" s="152"/>
      <c r="C56" s="152"/>
      <c r="D56" s="52"/>
      <c r="I56" s="3">
        <v>27</v>
      </c>
      <c r="J56" s="65" t="str">
        <f t="shared" si="0"/>
        <v>C</v>
      </c>
      <c r="K56" s="65">
        <f t="shared" si="1"/>
        <v>13300</v>
      </c>
      <c r="L56" s="65" t="str">
        <f t="shared" si="2"/>
        <v>女甲 100米個人混合泳</v>
      </c>
    </row>
    <row r="57" spans="1:12" ht="16.5" customHeight="1">
      <c r="A57" s="152"/>
      <c r="B57" s="152"/>
      <c r="C57" s="152"/>
      <c r="D57" s="52"/>
      <c r="I57" s="3">
        <v>28</v>
      </c>
      <c r="J57" s="65" t="str">
        <f t="shared" si="0"/>
        <v>A</v>
      </c>
      <c r="K57" s="65">
        <f t="shared" si="1"/>
        <v>12600</v>
      </c>
      <c r="L57" s="65" t="str">
        <f t="shared" si="2"/>
        <v>男甲 100米個人混合泳</v>
      </c>
    </row>
    <row r="58" spans="1:12" ht="16.5" customHeight="1">
      <c r="A58" s="152"/>
      <c r="B58" s="152"/>
      <c r="C58" s="152"/>
      <c r="D58" s="52"/>
      <c r="I58" s="3">
        <v>29</v>
      </c>
      <c r="J58" s="65" t="str">
        <f t="shared" si="0"/>
        <v>D</v>
      </c>
      <c r="K58" s="65">
        <f t="shared" si="1"/>
        <v>13700</v>
      </c>
      <c r="L58" s="65" t="str">
        <f t="shared" si="2"/>
        <v>女乙 100米個人混合泳</v>
      </c>
    </row>
    <row r="59" spans="1:12" ht="16.5" customHeight="1">
      <c r="A59" s="152"/>
      <c r="B59" s="152"/>
      <c r="C59" s="152"/>
      <c r="D59" s="126"/>
      <c r="I59" s="3">
        <v>30</v>
      </c>
      <c r="J59" s="65" t="str">
        <f t="shared" si="0"/>
        <v>B</v>
      </c>
      <c r="K59" s="65">
        <f t="shared" si="1"/>
        <v>13200</v>
      </c>
      <c r="L59" s="65" t="str">
        <f t="shared" si="2"/>
        <v>男乙 100米個人混合泳</v>
      </c>
    </row>
    <row r="60" spans="1:12" ht="16.5" customHeight="1">
      <c r="A60" s="152"/>
      <c r="B60" s="152"/>
      <c r="C60" s="152"/>
      <c r="D60" s="126"/>
      <c r="I60" s="3">
        <v>31</v>
      </c>
      <c r="J60" s="65" t="str">
        <f t="shared" si="0"/>
        <v>C</v>
      </c>
      <c r="K60" s="65">
        <f t="shared" si="1"/>
        <v>4000</v>
      </c>
      <c r="L60" s="65" t="str">
        <f t="shared" si="2"/>
        <v>女甲 50米背泳</v>
      </c>
    </row>
    <row r="61" spans="1:12" ht="16.5" customHeight="1">
      <c r="A61" s="152"/>
      <c r="B61" s="152"/>
      <c r="C61" s="152"/>
      <c r="D61" s="126"/>
      <c r="I61" s="3">
        <v>32</v>
      </c>
      <c r="J61" s="65" t="str">
        <f t="shared" si="0"/>
        <v>A</v>
      </c>
      <c r="K61" s="65">
        <f t="shared" si="1"/>
        <v>3600</v>
      </c>
      <c r="L61" s="65" t="str">
        <f t="shared" si="2"/>
        <v>男甲 50米背泳</v>
      </c>
    </row>
    <row r="62" spans="1:12" ht="16.5" customHeight="1">
      <c r="A62" s="152"/>
      <c r="B62" s="152"/>
      <c r="C62" s="152"/>
      <c r="D62" s="126"/>
      <c r="I62" s="3">
        <v>33</v>
      </c>
      <c r="J62" s="65" t="str">
        <f t="shared" ref="J62:J93" si="3">IF(VLOOKUP($H$30,$H$9:$CL$14,I62+1,FALSE)=0,"",VLOOKUP($H$30,$H$9:$CL$14,I62+1,FALSE))</f>
        <v>D</v>
      </c>
      <c r="K62" s="65">
        <f t="shared" ref="K62:K93" si="4">IF(VLOOKUP($H$30,$H$16:$CL$20,I62+1,FALSE)=0,"",VLOOKUP($H$30,$H$16:$CL$20,I62+1,FALSE))</f>
        <v>4300</v>
      </c>
      <c r="L62" s="65" t="str">
        <f t="shared" ref="L62:L93" si="5">IF(VLOOKUP($H$30,$H$23:$CL$27,I62+1,FALSE)=0,"",VLOOKUP($H$30,$H$23:$CL$27,I62+1,FALSE))</f>
        <v>女乙 50米背泳</v>
      </c>
    </row>
    <row r="63" spans="1:12" ht="16.5" customHeight="1">
      <c r="A63" s="152"/>
      <c r="B63" s="152"/>
      <c r="C63" s="152"/>
      <c r="D63" s="126"/>
      <c r="I63" s="3">
        <v>34</v>
      </c>
      <c r="J63" s="65" t="str">
        <f t="shared" si="3"/>
        <v>B</v>
      </c>
      <c r="K63" s="65">
        <f t="shared" si="4"/>
        <v>3800</v>
      </c>
      <c r="L63" s="65" t="str">
        <f t="shared" si="5"/>
        <v>男乙 50米背泳</v>
      </c>
    </row>
    <row r="64" spans="1:12" ht="16.5" customHeight="1">
      <c r="A64" s="152"/>
      <c r="B64" s="152"/>
      <c r="C64" s="152"/>
      <c r="D64" s="126"/>
      <c r="I64" s="3">
        <v>35</v>
      </c>
      <c r="J64" s="65" t="str">
        <f t="shared" si="3"/>
        <v>F</v>
      </c>
      <c r="K64" s="65">
        <f t="shared" si="4"/>
        <v>5000</v>
      </c>
      <c r="L64" s="65" t="str">
        <f t="shared" si="5"/>
        <v>女丙 50米背泳</v>
      </c>
    </row>
    <row r="65" spans="1:12" ht="16.5" customHeight="1">
      <c r="A65" s="152"/>
      <c r="B65" s="152"/>
      <c r="C65" s="152"/>
      <c r="D65" s="126"/>
      <c r="I65" s="3">
        <v>36</v>
      </c>
      <c r="J65" s="65" t="str">
        <f t="shared" si="3"/>
        <v>E</v>
      </c>
      <c r="K65" s="65">
        <f t="shared" si="4"/>
        <v>4500</v>
      </c>
      <c r="L65" s="65" t="str">
        <f t="shared" si="5"/>
        <v>男丙 50米背泳</v>
      </c>
    </row>
    <row r="66" spans="1:12" ht="16.5" customHeight="1">
      <c r="A66" s="152"/>
      <c r="B66" s="152"/>
      <c r="C66" s="152"/>
      <c r="D66" s="126"/>
      <c r="I66" s="3">
        <v>37</v>
      </c>
      <c r="J66" s="65" t="str">
        <f t="shared" si="3"/>
        <v>C</v>
      </c>
      <c r="K66" s="65">
        <f t="shared" si="4"/>
        <v>13700</v>
      </c>
      <c r="L66" s="65" t="str">
        <f t="shared" si="5"/>
        <v>女甲 100米蛙泳</v>
      </c>
    </row>
    <row r="67" spans="1:12" ht="16.5" customHeight="1">
      <c r="A67" s="152"/>
      <c r="B67" s="152"/>
      <c r="C67" s="152"/>
      <c r="D67" s="126"/>
      <c r="I67" s="3">
        <v>38</v>
      </c>
      <c r="J67" s="65" t="str">
        <f t="shared" si="3"/>
        <v>A</v>
      </c>
      <c r="K67" s="65">
        <f t="shared" si="4"/>
        <v>12900</v>
      </c>
      <c r="L67" s="65" t="str">
        <f t="shared" si="5"/>
        <v>男甲 100米蛙泳</v>
      </c>
    </row>
    <row r="68" spans="1:12" ht="16.5" customHeight="1">
      <c r="A68" s="152"/>
      <c r="B68" s="152"/>
      <c r="C68" s="152"/>
      <c r="D68" s="126"/>
      <c r="I68" s="3">
        <v>39</v>
      </c>
      <c r="J68" s="65" t="str">
        <f t="shared" si="3"/>
        <v>D</v>
      </c>
      <c r="K68" s="65">
        <f t="shared" si="4"/>
        <v>14200</v>
      </c>
      <c r="L68" s="65" t="str">
        <f t="shared" si="5"/>
        <v>女乙 100米蛙泳</v>
      </c>
    </row>
    <row r="69" spans="1:12" ht="16.5" customHeight="1">
      <c r="A69" s="152"/>
      <c r="B69" s="152"/>
      <c r="C69" s="152"/>
      <c r="D69" s="126"/>
      <c r="I69" s="3">
        <v>40</v>
      </c>
      <c r="J69" s="65" t="str">
        <f t="shared" si="3"/>
        <v>B</v>
      </c>
      <c r="K69" s="65">
        <f t="shared" si="4"/>
        <v>13400</v>
      </c>
      <c r="L69" s="65" t="str">
        <f t="shared" si="5"/>
        <v>男乙 100米蛙泳</v>
      </c>
    </row>
    <row r="70" spans="1:12" ht="16.5" customHeight="1">
      <c r="A70" s="152"/>
      <c r="B70" s="152"/>
      <c r="C70" s="152"/>
      <c r="D70" s="126"/>
      <c r="I70" s="3">
        <v>41</v>
      </c>
      <c r="J70" s="65" t="str">
        <f t="shared" si="3"/>
        <v>C</v>
      </c>
      <c r="K70" s="65">
        <f t="shared" si="4"/>
        <v>3800</v>
      </c>
      <c r="L70" s="65" t="str">
        <f t="shared" si="5"/>
        <v>女甲 50米蝶泳</v>
      </c>
    </row>
    <row r="71" spans="1:12" ht="16.5" customHeight="1">
      <c r="A71" s="152"/>
      <c r="B71" s="152"/>
      <c r="C71" s="152"/>
      <c r="D71" s="126"/>
      <c r="I71" s="3">
        <v>42</v>
      </c>
      <c r="J71" s="65" t="str">
        <f t="shared" si="3"/>
        <v>A</v>
      </c>
      <c r="K71" s="65">
        <f t="shared" si="4"/>
        <v>3500</v>
      </c>
      <c r="L71" s="65" t="str">
        <f t="shared" si="5"/>
        <v>男甲 50米蝶泳</v>
      </c>
    </row>
    <row r="72" spans="1:12" ht="16.5" customHeight="1">
      <c r="A72" s="152"/>
      <c r="B72" s="152"/>
      <c r="C72" s="152"/>
      <c r="D72" s="126"/>
      <c r="I72" s="3">
        <v>43</v>
      </c>
      <c r="J72" s="65" t="str">
        <f t="shared" si="3"/>
        <v>D</v>
      </c>
      <c r="K72" s="65">
        <f t="shared" si="4"/>
        <v>4000</v>
      </c>
      <c r="L72" s="65" t="str">
        <f t="shared" si="5"/>
        <v>女乙 50米蝶泳</v>
      </c>
    </row>
    <row r="73" spans="1:12" ht="16.5" customHeight="1">
      <c r="A73" s="152"/>
      <c r="B73" s="152"/>
      <c r="C73" s="152"/>
      <c r="D73" s="126"/>
      <c r="I73" s="3">
        <v>44</v>
      </c>
      <c r="J73" s="65" t="str">
        <f t="shared" si="3"/>
        <v>B</v>
      </c>
      <c r="K73" s="65">
        <f t="shared" si="4"/>
        <v>3800</v>
      </c>
      <c r="L73" s="65" t="str">
        <f t="shared" si="5"/>
        <v>男乙 50米蝶泳</v>
      </c>
    </row>
    <row r="74" spans="1:12" ht="16.5" customHeight="1">
      <c r="A74" s="152"/>
      <c r="B74" s="152"/>
      <c r="C74" s="152"/>
      <c r="D74" s="126"/>
      <c r="I74" s="3">
        <v>45</v>
      </c>
      <c r="J74" s="65" t="str">
        <f t="shared" si="3"/>
        <v>F</v>
      </c>
      <c r="K74" s="65">
        <f t="shared" si="4"/>
        <v>5000</v>
      </c>
      <c r="L74" s="65" t="str">
        <f t="shared" si="5"/>
        <v>女丙 50米蝶泳</v>
      </c>
    </row>
    <row r="75" spans="1:12" ht="16.5" customHeight="1">
      <c r="A75" s="152"/>
      <c r="B75" s="152"/>
      <c r="C75" s="152"/>
      <c r="D75" s="126"/>
      <c r="I75" s="3">
        <v>46</v>
      </c>
      <c r="J75" s="65" t="str">
        <f t="shared" si="3"/>
        <v>E</v>
      </c>
      <c r="K75" s="65">
        <f t="shared" si="4"/>
        <v>4500</v>
      </c>
      <c r="L75" s="65" t="str">
        <f t="shared" si="5"/>
        <v>男丙 50米蝶泳</v>
      </c>
    </row>
    <row r="76" spans="1:12" ht="16.5" customHeight="1">
      <c r="A76" s="152"/>
      <c r="B76" s="152"/>
      <c r="C76" s="152"/>
      <c r="D76" s="126"/>
      <c r="I76" s="3">
        <v>47</v>
      </c>
      <c r="J76" s="65" t="str">
        <f t="shared" si="3"/>
        <v>C</v>
      </c>
      <c r="K76" s="65">
        <f t="shared" si="4"/>
        <v>12000</v>
      </c>
      <c r="L76" s="65" t="str">
        <f t="shared" si="5"/>
        <v>女甲 100米自由泳</v>
      </c>
    </row>
    <row r="77" spans="1:12" ht="16.5" customHeight="1">
      <c r="A77" s="152"/>
      <c r="B77" s="152"/>
      <c r="C77" s="152"/>
      <c r="D77" s="126"/>
      <c r="I77" s="3">
        <v>48</v>
      </c>
      <c r="J77" s="65" t="str">
        <f t="shared" si="3"/>
        <v>A</v>
      </c>
      <c r="K77" s="65">
        <f t="shared" si="4"/>
        <v>11400</v>
      </c>
      <c r="L77" s="65" t="str">
        <f t="shared" si="5"/>
        <v>男甲 100米自由泳</v>
      </c>
    </row>
    <row r="78" spans="1:12" ht="16.5" customHeight="1">
      <c r="A78" s="152"/>
      <c r="B78" s="152"/>
      <c r="C78" s="152"/>
      <c r="D78" s="126"/>
      <c r="I78" s="3">
        <v>49</v>
      </c>
      <c r="J78" s="65" t="str">
        <f t="shared" si="3"/>
        <v>D</v>
      </c>
      <c r="K78" s="65">
        <f t="shared" si="4"/>
        <v>12400</v>
      </c>
      <c r="L78" s="65" t="str">
        <f t="shared" si="5"/>
        <v>女乙 100米自由泳</v>
      </c>
    </row>
    <row r="79" spans="1:12" ht="16.5" customHeight="1">
      <c r="A79" s="152"/>
      <c r="B79" s="153"/>
      <c r="D79" s="52"/>
      <c r="I79" s="3">
        <v>50</v>
      </c>
      <c r="J79" s="65" t="str">
        <f t="shared" si="3"/>
        <v>B</v>
      </c>
      <c r="K79" s="65">
        <f t="shared" si="4"/>
        <v>11900</v>
      </c>
      <c r="L79" s="65" t="str">
        <f t="shared" si="5"/>
        <v>男乙 100米自由泳</v>
      </c>
    </row>
    <row r="80" spans="1:12" ht="16.5" customHeight="1">
      <c r="A80" s="152"/>
      <c r="B80" s="154"/>
      <c r="D80" s="52"/>
      <c r="I80" s="3">
        <v>51</v>
      </c>
      <c r="J80" s="65" t="str">
        <f t="shared" si="3"/>
        <v>C</v>
      </c>
      <c r="K80" s="65" t="str">
        <f t="shared" si="4"/>
        <v/>
      </c>
      <c r="L80" s="65" t="str">
        <f t="shared" si="5"/>
        <v>女甲 4X50米四式接力</v>
      </c>
    </row>
    <row r="81" spans="1:12" ht="16.5" customHeight="1">
      <c r="A81" s="152"/>
      <c r="B81" s="153"/>
      <c r="D81" s="52"/>
      <c r="I81" s="3">
        <v>52</v>
      </c>
      <c r="J81" s="65" t="str">
        <f t="shared" si="3"/>
        <v>A</v>
      </c>
      <c r="K81" s="65" t="str">
        <f t="shared" si="4"/>
        <v/>
      </c>
      <c r="L81" s="65" t="str">
        <f t="shared" si="5"/>
        <v>男甲 4X50米四式接力</v>
      </c>
    </row>
    <row r="82" spans="1:12" ht="16.5" customHeight="1">
      <c r="A82" s="152"/>
      <c r="B82" s="154"/>
      <c r="C82" s="52"/>
      <c r="D82" s="52"/>
      <c r="I82" s="3">
        <v>53</v>
      </c>
      <c r="J82" s="65" t="str">
        <f t="shared" si="3"/>
        <v>D</v>
      </c>
      <c r="K82" s="65" t="str">
        <f t="shared" si="4"/>
        <v/>
      </c>
      <c r="L82" s="65" t="str">
        <f t="shared" si="5"/>
        <v>女乙 4X50米四式接力</v>
      </c>
    </row>
    <row r="83" spans="1:12" ht="16.5" customHeight="1">
      <c r="A83" s="152"/>
      <c r="B83" s="153"/>
      <c r="D83" s="52"/>
      <c r="I83" s="3">
        <v>54</v>
      </c>
      <c r="J83" s="65" t="str">
        <f t="shared" si="3"/>
        <v>B</v>
      </c>
      <c r="K83" s="65" t="str">
        <f t="shared" si="4"/>
        <v/>
      </c>
      <c r="L83" s="65" t="str">
        <f t="shared" si="5"/>
        <v>男乙 4X50米四式接力</v>
      </c>
    </row>
    <row r="84" spans="1:12" ht="16.5" customHeight="1">
      <c r="A84" s="152"/>
      <c r="B84" s="154"/>
      <c r="D84" s="52"/>
      <c r="I84" s="3">
        <v>55</v>
      </c>
      <c r="J84" s="65" t="str">
        <f t="shared" si="3"/>
        <v/>
      </c>
      <c r="K84" s="65" t="str">
        <f t="shared" si="4"/>
        <v/>
      </c>
      <c r="L84" s="65" t="str">
        <f t="shared" si="5"/>
        <v/>
      </c>
    </row>
    <row r="85" spans="1:12" ht="16.5" customHeight="1">
      <c r="A85" s="152"/>
      <c r="B85" s="153"/>
      <c r="D85" s="52"/>
      <c r="I85" s="3">
        <v>56</v>
      </c>
      <c r="J85" s="65" t="str">
        <f t="shared" si="3"/>
        <v/>
      </c>
      <c r="K85" s="65" t="str">
        <f t="shared" si="4"/>
        <v/>
      </c>
      <c r="L85" s="65" t="str">
        <f t="shared" si="5"/>
        <v/>
      </c>
    </row>
    <row r="86" spans="1:12" ht="16.5" customHeight="1">
      <c r="A86" s="152"/>
      <c r="B86" s="154"/>
      <c r="C86" s="52"/>
      <c r="D86" s="52"/>
      <c r="I86" s="3">
        <v>57</v>
      </c>
      <c r="J86" s="65" t="str">
        <f t="shared" si="3"/>
        <v/>
      </c>
      <c r="K86" s="65" t="str">
        <f t="shared" si="4"/>
        <v/>
      </c>
      <c r="L86" s="65" t="str">
        <f t="shared" si="5"/>
        <v/>
      </c>
    </row>
    <row r="87" spans="1:12" ht="16.5" customHeight="1">
      <c r="A87" s="152"/>
      <c r="B87" s="153"/>
      <c r="D87" s="52"/>
      <c r="I87" s="3">
        <v>58</v>
      </c>
      <c r="J87" s="65" t="str">
        <f t="shared" si="3"/>
        <v/>
      </c>
      <c r="K87" s="65" t="str">
        <f t="shared" si="4"/>
        <v/>
      </c>
      <c r="L87" s="65" t="str">
        <f t="shared" si="5"/>
        <v/>
      </c>
    </row>
    <row r="88" spans="1:12" ht="16.5" customHeight="1">
      <c r="A88" s="152"/>
      <c r="B88" s="154"/>
      <c r="D88" s="52"/>
      <c r="I88" s="3">
        <v>59</v>
      </c>
      <c r="J88" s="65" t="str">
        <f t="shared" si="3"/>
        <v/>
      </c>
      <c r="K88" s="65" t="str">
        <f t="shared" si="4"/>
        <v/>
      </c>
      <c r="L88" s="65" t="str">
        <f t="shared" si="5"/>
        <v/>
      </c>
    </row>
    <row r="89" spans="1:12" ht="16.5" customHeight="1">
      <c r="A89" s="152"/>
      <c r="B89" s="153"/>
      <c r="D89" s="52"/>
      <c r="I89" s="3">
        <v>60</v>
      </c>
      <c r="J89" s="65" t="str">
        <f t="shared" si="3"/>
        <v/>
      </c>
      <c r="K89" s="65" t="str">
        <f t="shared" si="4"/>
        <v/>
      </c>
      <c r="L89" s="65" t="str">
        <f t="shared" si="5"/>
        <v/>
      </c>
    </row>
    <row r="90" spans="1:12" ht="16.5" customHeight="1">
      <c r="A90" s="152"/>
      <c r="B90" s="154"/>
      <c r="D90" s="52"/>
      <c r="I90" s="3">
        <v>61</v>
      </c>
      <c r="J90" s="65" t="str">
        <f t="shared" si="3"/>
        <v/>
      </c>
      <c r="K90" s="65" t="str">
        <f t="shared" si="4"/>
        <v/>
      </c>
      <c r="L90" s="65" t="str">
        <f t="shared" si="5"/>
        <v/>
      </c>
    </row>
    <row r="91" spans="1:12" ht="16.5" customHeight="1">
      <c r="A91" s="152"/>
      <c r="B91" s="153"/>
      <c r="D91" s="52"/>
      <c r="I91" s="3">
        <v>62</v>
      </c>
      <c r="J91" s="65" t="str">
        <f t="shared" si="3"/>
        <v/>
      </c>
      <c r="K91" s="65" t="str">
        <f t="shared" si="4"/>
        <v/>
      </c>
      <c r="L91" s="65" t="str">
        <f t="shared" si="5"/>
        <v/>
      </c>
    </row>
    <row r="92" spans="1:12" ht="16.5" customHeight="1">
      <c r="A92" s="152"/>
      <c r="B92" s="154"/>
      <c r="D92" s="52"/>
      <c r="I92" s="3">
        <v>63</v>
      </c>
      <c r="J92" s="65" t="str">
        <f t="shared" si="3"/>
        <v/>
      </c>
      <c r="K92" s="65" t="str">
        <f t="shared" si="4"/>
        <v/>
      </c>
      <c r="L92" s="65" t="str">
        <f t="shared" si="5"/>
        <v/>
      </c>
    </row>
    <row r="93" spans="1:12" ht="16.5" customHeight="1">
      <c r="A93" s="152"/>
      <c r="B93" s="153"/>
      <c r="D93" s="52"/>
      <c r="I93" s="3">
        <v>64</v>
      </c>
      <c r="J93" s="65" t="str">
        <f t="shared" si="3"/>
        <v/>
      </c>
      <c r="K93" s="65" t="str">
        <f t="shared" si="4"/>
        <v/>
      </c>
      <c r="L93" s="65" t="str">
        <f t="shared" si="5"/>
        <v/>
      </c>
    </row>
    <row r="94" spans="1:12" ht="16.5" customHeight="1">
      <c r="A94" s="152"/>
      <c r="B94" s="154"/>
      <c r="D94" s="52"/>
      <c r="I94" s="3">
        <v>65</v>
      </c>
      <c r="J94" s="65" t="str">
        <f t="shared" ref="J94:J111" si="6">IF(VLOOKUP($H$30,$H$9:$CL$14,I94+1,FALSE)=0,"",VLOOKUP($H$30,$H$9:$CL$14,I94+1,FALSE))</f>
        <v/>
      </c>
      <c r="K94" s="65" t="str">
        <f t="shared" ref="K94:K111" si="7">IF(VLOOKUP($H$30,$H$16:$CL$20,I94+1,FALSE)=0,"",VLOOKUP($H$30,$H$16:$CL$20,I94+1,FALSE))</f>
        <v/>
      </c>
      <c r="L94" s="65" t="str">
        <f t="shared" ref="L94:L111" si="8">IF(VLOOKUP($H$30,$H$23:$CL$27,I94+1,FALSE)=0,"",VLOOKUP($H$30,$H$23:$CL$27,I94+1,FALSE))</f>
        <v/>
      </c>
    </row>
    <row r="95" spans="1:12" ht="16.5" customHeight="1">
      <c r="A95" s="152"/>
      <c r="B95" s="153"/>
      <c r="D95" s="52"/>
      <c r="I95" s="3">
        <v>66</v>
      </c>
      <c r="J95" s="65" t="str">
        <f t="shared" si="6"/>
        <v/>
      </c>
      <c r="K95" s="65" t="str">
        <f t="shared" si="7"/>
        <v/>
      </c>
      <c r="L95" s="65" t="str">
        <f t="shared" si="8"/>
        <v/>
      </c>
    </row>
    <row r="96" spans="1:12" ht="16.5" customHeight="1">
      <c r="A96" s="152"/>
      <c r="B96" s="154"/>
      <c r="D96" s="52"/>
      <c r="I96" s="3">
        <v>67</v>
      </c>
      <c r="J96" s="65" t="str">
        <f t="shared" si="6"/>
        <v/>
      </c>
      <c r="K96" s="65" t="str">
        <f t="shared" si="7"/>
        <v/>
      </c>
      <c r="L96" s="65" t="str">
        <f t="shared" si="8"/>
        <v/>
      </c>
    </row>
    <row r="97" spans="1:12" ht="16.5" customHeight="1">
      <c r="A97" s="152"/>
      <c r="B97" s="153"/>
      <c r="D97" s="52"/>
      <c r="I97" s="3">
        <v>68</v>
      </c>
      <c r="J97" s="65" t="str">
        <f t="shared" si="6"/>
        <v/>
      </c>
      <c r="K97" s="65" t="str">
        <f t="shared" si="7"/>
        <v/>
      </c>
      <c r="L97" s="65" t="str">
        <f t="shared" si="8"/>
        <v/>
      </c>
    </row>
    <row r="98" spans="1:12" ht="16.5" customHeight="1">
      <c r="A98" s="155"/>
      <c r="B98" s="154"/>
      <c r="D98" s="52"/>
      <c r="I98" s="3">
        <v>69</v>
      </c>
      <c r="J98" s="65" t="str">
        <f t="shared" si="6"/>
        <v/>
      </c>
      <c r="K98" s="65" t="str">
        <f t="shared" si="7"/>
        <v/>
      </c>
      <c r="L98" s="65" t="str">
        <f t="shared" si="8"/>
        <v/>
      </c>
    </row>
    <row r="99" spans="1:12" ht="16.5" customHeight="1">
      <c r="A99" s="152"/>
      <c r="B99" s="153"/>
      <c r="D99" s="126"/>
      <c r="I99" s="3">
        <v>70</v>
      </c>
      <c r="J99" s="65" t="str">
        <f t="shared" si="6"/>
        <v/>
      </c>
      <c r="K99" s="65" t="str">
        <f t="shared" si="7"/>
        <v/>
      </c>
      <c r="L99" s="65" t="str">
        <f t="shared" si="8"/>
        <v/>
      </c>
    </row>
    <row r="100" spans="1:12" ht="16.5" customHeight="1">
      <c r="A100" s="152"/>
      <c r="B100" s="154"/>
      <c r="D100" s="126"/>
      <c r="I100" s="3">
        <v>71</v>
      </c>
      <c r="J100" s="65" t="str">
        <f t="shared" si="6"/>
        <v/>
      </c>
      <c r="K100" s="65" t="str">
        <f t="shared" si="7"/>
        <v/>
      </c>
      <c r="L100" s="65" t="str">
        <f t="shared" si="8"/>
        <v/>
      </c>
    </row>
    <row r="101" spans="1:12" ht="16.5" customHeight="1">
      <c r="A101" s="152"/>
      <c r="B101" s="154"/>
      <c r="D101" s="126"/>
      <c r="I101" s="3">
        <v>72</v>
      </c>
      <c r="J101" s="65" t="str">
        <f t="shared" si="6"/>
        <v/>
      </c>
      <c r="K101" s="65" t="str">
        <f t="shared" si="7"/>
        <v/>
      </c>
      <c r="L101" s="65" t="str">
        <f t="shared" si="8"/>
        <v/>
      </c>
    </row>
    <row r="102" spans="1:12" ht="16.5" customHeight="1">
      <c r="A102" s="155"/>
      <c r="B102" s="154"/>
      <c r="D102" s="126"/>
      <c r="I102" s="3">
        <v>73</v>
      </c>
      <c r="J102" s="65" t="str">
        <f t="shared" si="6"/>
        <v/>
      </c>
      <c r="K102" s="65" t="str">
        <f t="shared" si="7"/>
        <v/>
      </c>
      <c r="L102" s="65" t="str">
        <f t="shared" si="8"/>
        <v/>
      </c>
    </row>
    <row r="103" spans="1:12" ht="16.5" customHeight="1">
      <c r="A103" s="152"/>
      <c r="B103" s="153"/>
      <c r="D103" s="126"/>
      <c r="I103" s="3">
        <v>74</v>
      </c>
      <c r="J103" s="65" t="str">
        <f t="shared" si="6"/>
        <v/>
      </c>
      <c r="K103" s="65" t="str">
        <f t="shared" si="7"/>
        <v/>
      </c>
      <c r="L103" s="65" t="str">
        <f t="shared" si="8"/>
        <v/>
      </c>
    </row>
    <row r="104" spans="1:12" ht="16.5" customHeight="1">
      <c r="A104" s="152"/>
      <c r="B104" s="154"/>
      <c r="D104" s="126"/>
      <c r="I104" s="3">
        <v>75</v>
      </c>
      <c r="J104" s="65" t="str">
        <f t="shared" si="6"/>
        <v/>
      </c>
      <c r="K104" s="65" t="str">
        <f t="shared" si="7"/>
        <v/>
      </c>
      <c r="L104" s="65" t="str">
        <f t="shared" si="8"/>
        <v/>
      </c>
    </row>
    <row r="105" spans="1:12" ht="16.5" customHeight="1">
      <c r="A105" s="152"/>
      <c r="B105" s="154"/>
      <c r="D105" s="126"/>
      <c r="I105" s="3">
        <v>76</v>
      </c>
      <c r="J105" s="65" t="str">
        <f t="shared" si="6"/>
        <v/>
      </c>
      <c r="K105" s="65" t="str">
        <f t="shared" si="7"/>
        <v/>
      </c>
      <c r="L105" s="65" t="str">
        <f t="shared" si="8"/>
        <v/>
      </c>
    </row>
    <row r="106" spans="1:12" ht="16.5" customHeight="1">
      <c r="A106" s="155"/>
      <c r="B106" s="154"/>
      <c r="D106" s="126"/>
      <c r="I106" s="3">
        <v>77</v>
      </c>
      <c r="J106" s="65" t="str">
        <f t="shared" si="6"/>
        <v/>
      </c>
      <c r="K106" s="65" t="str">
        <f t="shared" si="7"/>
        <v/>
      </c>
      <c r="L106" s="65" t="str">
        <f t="shared" si="8"/>
        <v/>
      </c>
    </row>
    <row r="107" spans="1:12" ht="16.5" customHeight="1">
      <c r="A107" s="152"/>
      <c r="B107" s="153"/>
      <c r="D107" s="126"/>
      <c r="I107" s="3">
        <v>78</v>
      </c>
      <c r="J107" s="65" t="str">
        <f t="shared" si="6"/>
        <v/>
      </c>
      <c r="K107" s="65" t="str">
        <f t="shared" si="7"/>
        <v/>
      </c>
      <c r="L107" s="65" t="str">
        <f t="shared" si="8"/>
        <v/>
      </c>
    </row>
    <row r="108" spans="1:12" ht="16.5" customHeight="1">
      <c r="A108" s="152"/>
      <c r="B108" s="154"/>
      <c r="D108" s="126"/>
      <c r="I108" s="3">
        <v>79</v>
      </c>
      <c r="J108" s="65" t="str">
        <f t="shared" si="6"/>
        <v/>
      </c>
      <c r="K108" s="65" t="str">
        <f t="shared" si="7"/>
        <v/>
      </c>
      <c r="L108" s="65" t="str">
        <f t="shared" si="8"/>
        <v/>
      </c>
    </row>
    <row r="109" spans="1:12" ht="16.5" customHeight="1">
      <c r="A109" s="152"/>
      <c r="B109" s="154"/>
      <c r="D109" s="126"/>
      <c r="I109" s="3">
        <v>80</v>
      </c>
      <c r="J109" s="65" t="str">
        <f t="shared" si="6"/>
        <v/>
      </c>
      <c r="K109" s="65" t="str">
        <f t="shared" si="7"/>
        <v/>
      </c>
      <c r="L109" s="65" t="str">
        <f t="shared" si="8"/>
        <v/>
      </c>
    </row>
    <row r="110" spans="1:12" ht="16.5" customHeight="1">
      <c r="A110" s="155"/>
      <c r="B110" s="154"/>
      <c r="D110" s="126"/>
      <c r="I110" s="3">
        <v>81</v>
      </c>
      <c r="J110" s="65" t="str">
        <f t="shared" si="6"/>
        <v/>
      </c>
      <c r="K110" s="65" t="str">
        <f t="shared" si="7"/>
        <v/>
      </c>
      <c r="L110" s="65" t="str">
        <f t="shared" si="8"/>
        <v/>
      </c>
    </row>
    <row r="111" spans="1:12" ht="16.5" customHeight="1">
      <c r="A111" s="152"/>
      <c r="B111" s="153"/>
      <c r="D111" s="126"/>
      <c r="I111" s="3">
        <v>82</v>
      </c>
      <c r="J111" s="65" t="str">
        <f t="shared" si="6"/>
        <v/>
      </c>
      <c r="K111" s="65" t="str">
        <f t="shared" si="7"/>
        <v/>
      </c>
      <c r="L111" s="65" t="str">
        <f t="shared" si="8"/>
        <v/>
      </c>
    </row>
    <row r="112" spans="1:12" ht="16.5" customHeight="1">
      <c r="A112" s="152"/>
      <c r="B112" s="154"/>
      <c r="D112" s="126"/>
    </row>
    <row r="113" spans="1:4" ht="16.5" customHeight="1">
      <c r="A113" s="152"/>
      <c r="B113" s="154"/>
      <c r="D113" s="126"/>
    </row>
    <row r="114" spans="1:4" ht="16.5" customHeight="1">
      <c r="A114" s="155"/>
      <c r="B114" s="154"/>
      <c r="D114" s="126"/>
    </row>
    <row r="115" spans="1:4" ht="16.5" customHeight="1">
      <c r="A115" s="152"/>
      <c r="B115" s="153"/>
      <c r="D115" s="126"/>
    </row>
    <row r="116" spans="1:4" ht="16.5" customHeight="1">
      <c r="A116" s="152"/>
      <c r="B116" s="154"/>
      <c r="D116" s="126"/>
    </row>
    <row r="117" spans="1:4" ht="16.5" customHeight="1">
      <c r="A117" s="152"/>
      <c r="B117" s="154"/>
      <c r="D117" s="126"/>
    </row>
    <row r="118" spans="1:4" ht="16.5" customHeight="1">
      <c r="A118" s="155"/>
      <c r="B118" s="154"/>
      <c r="D118" s="126"/>
    </row>
    <row r="119" spans="1:4" ht="16.5" customHeight="1">
      <c r="A119" s="152"/>
      <c r="B119" s="154"/>
    </row>
    <row r="120" spans="1:4" ht="16.5" customHeight="1">
      <c r="A120" s="155"/>
      <c r="B120" s="154"/>
    </row>
  </sheetData>
  <sheetProtection algorithmName="SHA-512" hashValue="uxyxBXMIedd+n7ZDv+R8PQYVSXL1eXcIBwZ5++m+N5t9+fISG9qXjEBzJzK0o8/4nWbJSAgdTEkgGmG96Y7Geg==" saltValue="wMtakB6k7e1bsW33MYknKw==" spinCount="100000" sheet="1" selectLockedCells="1"/>
  <sortState xmlns:xlrd2="http://schemas.microsoft.com/office/spreadsheetml/2017/richdata2" ref="A39:B118">
    <sortCondition ref="A39:A118"/>
  </sortState>
  <dataConsolidate/>
  <mergeCells count="15">
    <mergeCell ref="A31:B31"/>
    <mergeCell ref="A33:B33"/>
    <mergeCell ref="D23:E23"/>
    <mergeCell ref="D25:F25"/>
    <mergeCell ref="A1:F1"/>
    <mergeCell ref="B10:C10"/>
    <mergeCell ref="B11:C11"/>
    <mergeCell ref="B12:C12"/>
    <mergeCell ref="A8:F8"/>
    <mergeCell ref="A9:F9"/>
    <mergeCell ref="A3:F3"/>
    <mergeCell ref="A4:F4"/>
    <mergeCell ref="A7:F7"/>
    <mergeCell ref="A6:F6"/>
    <mergeCell ref="A29:B29"/>
  </mergeCells>
  <phoneticPr fontId="5" type="noConversion"/>
  <dataValidations count="2">
    <dataValidation type="list" allowBlank="1" showInputMessage="1" showErrorMessage="1" sqref="F10" xr:uid="{00000000-0002-0000-0000-000000000000}">
      <formula1>$H$2:$H$6</formula1>
    </dataValidation>
    <dataValidation type="list" allowBlank="1" showInputMessage="1" showErrorMessage="1" sqref="D23:E24" xr:uid="{00000000-0002-0000-0000-000001000000}">
      <formula1>$H$36:$H$38</formula1>
    </dataValidation>
  </dataValidations>
  <hyperlinks>
    <hyperlink ref="A8" r:id="rId1" display="https://forms.gle/xUZiLp7nTGbbNtSg6" xr:uid="{00000000-0004-0000-0000-000000000000}"/>
    <hyperlink ref="A8:F8" r:id="rId2" display="Google sheet 報名連結" xr:uid="{00000000-0004-0000-0000-000001000000}"/>
  </hyperlinks>
  <pageMargins left="0.7" right="0.7" top="0.75" bottom="0.75" header="0.3" footer="0.3"/>
  <pageSetup scale="85" orientation="portrait" r:id="rId3"/>
  <headerFooter>
    <oddFooter>&amp;C&amp;"Helvetica Neue,Regular"&amp;12&amp;K000000&amp;P</oddFooter>
  </headerFooter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0.39997558519241921"/>
  </sheetPr>
  <dimension ref="A1:IZ165"/>
  <sheetViews>
    <sheetView view="pageBreakPreview" zoomScale="70" zoomScaleNormal="100" zoomScaleSheetLayoutView="70" workbookViewId="0">
      <pane ySplit="22" topLeftCell="A104" activePane="bottomLeft" state="frozen"/>
      <selection pane="bottomLeft" activeCell="I10" sqref="I10"/>
    </sheetView>
  </sheetViews>
  <sheetFormatPr defaultRowHeight="16.5" customHeight="1"/>
  <cols>
    <col min="1" max="1" width="11.75" style="1" customWidth="1"/>
    <col min="2" max="2" width="14.625" style="1" customWidth="1"/>
    <col min="3" max="3" width="22" style="1" customWidth="1"/>
    <col min="4" max="5" width="12.625" style="1" customWidth="1"/>
    <col min="6" max="6" width="31.375" style="1" customWidth="1"/>
    <col min="7" max="7" width="20.375" style="1" customWidth="1"/>
    <col min="8" max="8" width="12.625" style="1" customWidth="1"/>
    <col min="9" max="9" width="14.75" style="1" customWidth="1"/>
    <col min="10" max="10" width="35.75" style="1" customWidth="1"/>
    <col min="11" max="13" width="8.875" style="1" customWidth="1"/>
    <col min="14" max="26" width="8.875" style="1" hidden="1" customWidth="1"/>
    <col min="27" max="260" width="8.875" style="1" customWidth="1"/>
  </cols>
  <sheetData>
    <row r="1" spans="1:260" ht="83.25" customHeight="1">
      <c r="A1" s="188" t="s">
        <v>82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/>
      <c r="O1" s="28" t="s">
        <v>363</v>
      </c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</row>
    <row r="2" spans="1:260" ht="16.5" customHeight="1">
      <c r="A2" s="190" t="s">
        <v>15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>
        <f>COUNTA(I24:I163)</f>
        <v>0</v>
      </c>
      <c r="O2">
        <f xml:space="preserve"> VLOOKUP(F11,報名總表及收費!H1:T7,13,FALSE)</f>
        <v>4</v>
      </c>
      <c r="P2"/>
      <c r="Q2"/>
      <c r="R2"/>
      <c r="S2"/>
      <c r="T2" s="28" t="s">
        <v>235</v>
      </c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</row>
    <row r="3" spans="1:260" ht="16.5" customHeight="1">
      <c r="A3" s="190" t="s">
        <v>210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/>
      <c r="O3"/>
      <c r="P3"/>
      <c r="Q3"/>
      <c r="R3"/>
      <c r="S3"/>
      <c r="T3" s="28" t="s">
        <v>231</v>
      </c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</row>
    <row r="4" spans="1:260" ht="16.5" customHeight="1">
      <c r="A4" s="192" t="s">
        <v>119</v>
      </c>
      <c r="B4" s="193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/>
      <c r="O4" s="28" t="s">
        <v>157</v>
      </c>
      <c r="P4" s="28" t="s">
        <v>158</v>
      </c>
      <c r="Q4" s="28" t="s">
        <v>382</v>
      </c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</row>
    <row r="5" spans="1:260" ht="16.5" customHeight="1">
      <c r="A5" s="194" t="str">
        <f>"3. 每個個人項目每團體最多可報"&amp; VLOOKUP(F11,報名總表及收費!H1:T7,13,FALSE) &amp; "個運動員。每名運動員限報個人項目︰"&amp; VLOOKUP(F11,報名總表及收費!H1:T7,12,FALSE) &amp;"，個人項目報名總數可參考報名表右方"</f>
        <v>3. 每個個人項目每團體最多可報4個運動員。每名運動員限報個人項目︰週年賽4項，個人項目報名總數可參考報名表右方</v>
      </c>
      <c r="B5" s="195"/>
      <c r="C5" s="195"/>
      <c r="D5" s="195"/>
      <c r="E5" s="195"/>
      <c r="F5" s="195"/>
      <c r="G5" s="195"/>
      <c r="H5" s="195"/>
      <c r="I5" s="195"/>
      <c r="J5" s="195"/>
      <c r="K5" s="195"/>
      <c r="L5" s="195"/>
      <c r="M5" s="195"/>
      <c r="N5"/>
      <c r="O5" s="114">
        <f>VLOOKUP($O$8,報名總表及收費!$L$2:$R$5,2,FALSE)</f>
        <v>2007</v>
      </c>
      <c r="P5" s="114">
        <f>VLOOKUP($O$8,報名總表及收費!$L$2:$R$5,3,FALSE)</f>
        <v>2008</v>
      </c>
      <c r="Q5" s="114">
        <f>VLOOKUP($O$8,報名總表及收費!$L$2:$R$5,6,FALSE)</f>
        <v>2013</v>
      </c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</row>
    <row r="6" spans="1:260" ht="16.5" customHeight="1">
      <c r="A6" s="190" t="s">
        <v>212</v>
      </c>
      <c r="B6" s="191"/>
      <c r="C6" s="191"/>
      <c r="D6" s="191"/>
      <c r="E6" s="191"/>
      <c r="F6" s="191"/>
      <c r="G6" s="191"/>
      <c r="H6" s="191"/>
      <c r="I6" s="191"/>
      <c r="J6" s="191"/>
      <c r="K6" s="191"/>
      <c r="L6" s="191"/>
      <c r="M6" s="191"/>
      <c r="N6"/>
      <c r="O6"/>
      <c r="P6"/>
      <c r="Q6"/>
      <c r="R6" s="28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</row>
    <row r="7" spans="1:260" ht="16.5" customHeight="1">
      <c r="A7" s="61" t="s">
        <v>214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</row>
    <row r="8" spans="1:260" ht="16.5" customHeight="1">
      <c r="A8" s="61" t="s">
        <v>213</v>
      </c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/>
      <c r="O8" t="str">
        <f>報名總表及收費!H30</f>
        <v>短池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</row>
    <row r="9" spans="1:260" ht="16.5" customHeight="1">
      <c r="A9" s="190" t="s">
        <v>265</v>
      </c>
      <c r="B9" s="191"/>
      <c r="C9" s="191"/>
      <c r="D9" s="191"/>
      <c r="E9" s="191"/>
      <c r="F9" s="191"/>
      <c r="G9" s="191"/>
      <c r="H9" s="191"/>
      <c r="I9" s="191"/>
      <c r="J9" s="191"/>
      <c r="K9" s="191"/>
      <c r="L9" s="191"/>
      <c r="M9" s="191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</row>
    <row r="10" spans="1:260" ht="16.5" customHeight="1">
      <c r="A10" s="5"/>
      <c r="B10" s="5"/>
      <c r="C10" s="5"/>
      <c r="D10" s="5"/>
      <c r="E10" s="5"/>
      <c r="F10" s="5"/>
      <c r="G10" s="5"/>
      <c r="H10" s="5"/>
      <c r="I10" s="5"/>
      <c r="K10" s="6"/>
      <c r="L10" s="6"/>
      <c r="M10" s="6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</row>
    <row r="11" spans="1:260" ht="16.5" customHeight="1">
      <c r="A11" s="10" t="s">
        <v>362</v>
      </c>
      <c r="B11" s="196" t="str">
        <f>IF(報名總表及收費!B10=0,"",報名總表及收費!B10)</f>
        <v/>
      </c>
      <c r="C11" s="197"/>
      <c r="D11" s="8"/>
      <c r="E11" s="7" t="s">
        <v>0</v>
      </c>
      <c r="F11" s="116" t="str">
        <f>報名總表及收費!F10</f>
        <v>周年(短池)游泳錦標賽</v>
      </c>
      <c r="G11" s="104"/>
      <c r="H11" s="104"/>
      <c r="I11" s="104"/>
      <c r="J11" s="56"/>
      <c r="K11" s="6"/>
      <c r="L11" s="6"/>
      <c r="M11" s="6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</row>
    <row r="12" spans="1:260" ht="16.5" customHeight="1">
      <c r="A12" s="7" t="s">
        <v>4</v>
      </c>
      <c r="B12" s="196" t="str">
        <f>IF(報名總表及收費!B11=0,"",報名總表及收費!B11)</f>
        <v/>
      </c>
      <c r="C12" s="197"/>
      <c r="D12" s="8"/>
      <c r="E12" s="7" t="s">
        <v>1</v>
      </c>
      <c r="F12" s="48">
        <f>報名總表及收費!F11</f>
        <v>45256</v>
      </c>
      <c r="G12" s="105"/>
      <c r="H12" s="105"/>
      <c r="I12" s="105"/>
      <c r="J12" s="57"/>
      <c r="K12" s="6"/>
      <c r="L12" s="6"/>
      <c r="M12" s="6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</row>
    <row r="13" spans="1:260" ht="16.5" customHeight="1">
      <c r="A13" s="7" t="s">
        <v>5</v>
      </c>
      <c r="B13" s="196" t="str">
        <f>IF(報名總表及收費!B12=0,"",報名總表及收費!B12)</f>
        <v/>
      </c>
      <c r="C13" s="197"/>
      <c r="D13" s="8"/>
      <c r="E13" s="7" t="s">
        <v>2</v>
      </c>
      <c r="F13" s="116" t="str">
        <f>報名總表及收費!F12</f>
        <v>城門谷游泳池</v>
      </c>
      <c r="G13" s="104"/>
      <c r="H13" s="104"/>
      <c r="I13" s="104"/>
      <c r="J13" s="56"/>
      <c r="K13" s="6"/>
      <c r="L13" s="6"/>
      <c r="M13" s="6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</row>
    <row r="14" spans="1:260" ht="16.5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6"/>
      <c r="L14" s="6"/>
      <c r="M14" s="6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</row>
    <row r="15" spans="1:260" ht="16.5" customHeight="1">
      <c r="A15" s="110"/>
      <c r="B15" s="198" t="s">
        <v>55</v>
      </c>
      <c r="C15" s="199"/>
      <c r="D15" s="111"/>
      <c r="E15" s="7" t="s">
        <v>20</v>
      </c>
      <c r="F15" s="10" t="s">
        <v>53</v>
      </c>
      <c r="G15" s="118" t="s">
        <v>21</v>
      </c>
      <c r="H15" s="15"/>
      <c r="I15" s="15"/>
      <c r="J15" s="14" t="s">
        <v>144</v>
      </c>
      <c r="L15" s="14" t="s">
        <v>56</v>
      </c>
      <c r="M15" s="14" t="s">
        <v>52</v>
      </c>
    </row>
    <row r="16" spans="1:260" ht="16.5" customHeight="1">
      <c r="A16" s="187" t="s">
        <v>53</v>
      </c>
      <c r="B16" s="187" t="str">
        <f>IF(報名總表及收費!$B$10=0,"",報名總表及收費!$B$10)</f>
        <v/>
      </c>
      <c r="C16" s="187"/>
      <c r="D16" s="90"/>
      <c r="E16" s="91">
        <f>VLOOKUP(報名總表及收費!$H$30,報名總表及收費!$L$2:$AX$6,11,FALSE)</f>
        <v>22</v>
      </c>
      <c r="F16" s="91" t="str">
        <f>VLOOKUP(報名總表及收費!$H$30,報名總表及收費!$L$2:$AX$6,10,FALSE)</f>
        <v>男甲 4X50米自由泳接力</v>
      </c>
      <c r="G16" s="109"/>
      <c r="H16" s="117"/>
      <c r="I16" s="117"/>
      <c r="J16" s="71" t="str">
        <f>IF(B16="","",IF(G16="","未報名",""))</f>
        <v/>
      </c>
      <c r="L16" s="15">
        <f>E16</f>
        <v>22</v>
      </c>
      <c r="M16" s="15">
        <f>COUNTA(G16)</f>
        <v>0</v>
      </c>
    </row>
    <row r="17" spans="1:260" ht="16.5" customHeight="1">
      <c r="A17" s="187"/>
      <c r="B17" s="187" t="str">
        <f>IF(報名總表及收費!$B$10=0,"",報名總表及收費!$B$10)</f>
        <v/>
      </c>
      <c r="C17" s="187"/>
      <c r="D17" s="90"/>
      <c r="E17" s="91">
        <f>VLOOKUP(報名總表及收費!$H$30,報名總表及收費!$L$2:$AX$6,13,FALSE)</f>
        <v>24</v>
      </c>
      <c r="F17" s="91" t="str">
        <f>VLOOKUP(報名總表及收費!$H$30,報名總表及收費!$L$2:$AX$6,12,FALSE)</f>
        <v>男乙 4X50米自由泳接力</v>
      </c>
      <c r="G17" s="121"/>
      <c r="H17" s="117"/>
      <c r="I17" s="117"/>
      <c r="J17" s="71" t="str">
        <f t="shared" ref="J17:J20" si="0">IF(B17="","",IF(G17="","未報名",""))</f>
        <v/>
      </c>
      <c r="L17" s="15">
        <f>E17</f>
        <v>24</v>
      </c>
      <c r="M17" s="15">
        <f>COUNTA(G17)</f>
        <v>0</v>
      </c>
      <c r="P17" s="63"/>
    </row>
    <row r="18" spans="1:260" ht="16.5" customHeight="1">
      <c r="A18" s="187"/>
      <c r="B18" s="187" t="str">
        <f>IF(E18="","",IF(報名總表及收費!$B$10=0,"",報名總表及收費!$B$10))</f>
        <v/>
      </c>
      <c r="C18" s="187"/>
      <c r="D18" s="90"/>
      <c r="E18" s="91">
        <f>IF(VLOOKUP(報名總表及收費!$H$30,報名總表及收費!$L$2:$AX$6,14,FALSE)= 0,"",VLOOKUP(報名總表及收費!$H$30,報名總表及收費!$L$2:$AX$6,15,FALSE))</f>
        <v>26</v>
      </c>
      <c r="F18" s="91" t="str">
        <f>IF(VLOOKUP(報名總表及收費!$H$30,報名總表及收費!$L$2:$AX$6,15,FALSE)=0,"",VLOOKUP(報名總表及收費!$H$30,報名總表及收費!$L$2:$AX$6,14,FALSE))</f>
        <v>男丙 4X50米自由泳接力</v>
      </c>
      <c r="G18" s="121"/>
      <c r="H18" s="117"/>
      <c r="I18" s="117"/>
      <c r="J18" s="71" t="str">
        <f t="shared" si="0"/>
        <v/>
      </c>
      <c r="L18" s="15">
        <f>E18</f>
        <v>26</v>
      </c>
      <c r="M18" s="15">
        <f>COUNTA(G18)</f>
        <v>0</v>
      </c>
    </row>
    <row r="19" spans="1:260" ht="16.5" customHeight="1">
      <c r="A19" s="187"/>
      <c r="B19" s="187" t="str">
        <f>IF(E19="","",IF(報名總表及收費!$B$10=0,"",報名總表及收費!$B$10))</f>
        <v/>
      </c>
      <c r="C19" s="187"/>
      <c r="D19" s="90"/>
      <c r="E19" s="91">
        <f>IF(VLOOKUP(報名總表及收費!$H$30,報名總表及收費!$L$2:$AX$6,15,FALSE)=0,"",VLOOKUP(報名總表及收費!$H$30,報名總表及收費!$L$2:$AX$6,17,FALSE))</f>
        <v>52</v>
      </c>
      <c r="F19" s="91" t="str">
        <f>IF(VLOOKUP(報名總表及收費!$H$30,報名總表及收費!$L$2:$AX$6,14,FALSE)=0,"",VLOOKUP(報名總表及收費!$H$30,報名總表及收費!$L$2:$AX$6,16,FALSE))</f>
        <v>男甲 4X50米四式接力</v>
      </c>
      <c r="G19" s="109"/>
      <c r="H19" s="117"/>
      <c r="I19" s="117"/>
      <c r="J19" s="71" t="str">
        <f t="shared" si="0"/>
        <v/>
      </c>
      <c r="L19" s="15">
        <f>E19</f>
        <v>52</v>
      </c>
      <c r="M19" s="15">
        <f>COUNTA(G19)</f>
        <v>0</v>
      </c>
    </row>
    <row r="20" spans="1:260" ht="16.5" customHeight="1">
      <c r="A20" s="187"/>
      <c r="B20" s="187" t="str">
        <f>IF(E20="","",IF(報名總表及收費!$B$10=0,"",報名總表及收費!$B$10))</f>
        <v/>
      </c>
      <c r="C20" s="187"/>
      <c r="D20" s="90"/>
      <c r="E20" s="91">
        <f>IF(VLOOKUP(報名總表及收費!$H$30,報名總表及收費!$L$2:$AX$6,19,FALSE)=0,"",VLOOKUP(報名總表及收費!$H$30,報名總表及收費!$L$2:$AX$6,19,FALSE))</f>
        <v>54</v>
      </c>
      <c r="F20" s="91" t="str">
        <f>IF(VLOOKUP(報名總表及收費!$H$30,報名總表及收費!$L$2:$AX$6,18,FALSE)=0,"",VLOOKUP(報名總表及收費!$H$30,報名總表及收費!$L$2:$AX$6,18,FALSE))</f>
        <v>男乙 4X50米四式接力</v>
      </c>
      <c r="G20" s="109"/>
      <c r="H20" s="117"/>
      <c r="I20" s="117"/>
      <c r="J20" s="71" t="str">
        <f t="shared" si="0"/>
        <v/>
      </c>
      <c r="L20" s="15">
        <f t="shared" ref="L20" si="1">E20</f>
        <v>54</v>
      </c>
      <c r="M20" s="15">
        <f t="shared" ref="M20" si="2">COUNTA(G20)</f>
        <v>0</v>
      </c>
    </row>
    <row r="21" spans="1:260" ht="16.5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6"/>
      <c r="L21" s="6"/>
      <c r="M21" s="6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</row>
    <row r="22" spans="1:260" ht="16.5" customHeight="1">
      <c r="A22" s="9"/>
      <c r="B22" s="118" t="s">
        <v>17</v>
      </c>
      <c r="C22" s="118" t="s">
        <v>18</v>
      </c>
      <c r="D22" s="118" t="s">
        <v>19</v>
      </c>
      <c r="E22" s="119" t="s">
        <v>163</v>
      </c>
      <c r="F22" s="10" t="s">
        <v>166</v>
      </c>
      <c r="G22" s="119" t="s">
        <v>148</v>
      </c>
      <c r="H22" s="60" t="s">
        <v>147</v>
      </c>
      <c r="I22" s="119" t="s">
        <v>264</v>
      </c>
      <c r="J22" s="127" t="s">
        <v>144</v>
      </c>
      <c r="L22" s="6"/>
      <c r="M22" s="6"/>
      <c r="N22"/>
      <c r="O22" s="28" t="s">
        <v>147</v>
      </c>
      <c r="P22" s="28" t="s">
        <v>149</v>
      </c>
      <c r="Q22"/>
      <c r="R22" s="63" t="s">
        <v>161</v>
      </c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</row>
    <row r="23" spans="1:260" ht="16.5" customHeight="1">
      <c r="A23" s="11" t="s">
        <v>22</v>
      </c>
      <c r="B23" s="11" t="s">
        <v>23</v>
      </c>
      <c r="C23" s="11" t="s">
        <v>24</v>
      </c>
      <c r="D23" s="12">
        <v>1999</v>
      </c>
      <c r="E23" s="36">
        <v>12</v>
      </c>
      <c r="F23" s="36" t="str">
        <f>IF(E23="","",VLOOKUP(E23,報名總表及收費!$I$29:$L$97,4))</f>
        <v>男甲 100米蝶泳</v>
      </c>
      <c r="G23" s="13">
        <v>1228</v>
      </c>
      <c r="H23" s="54">
        <f ca="1">IF(D23=0,"",YEAR(NOW())-D23)</f>
        <v>24</v>
      </c>
      <c r="I23" s="131" t="s">
        <v>231</v>
      </c>
      <c r="J23" s="128"/>
      <c r="K23" s="6"/>
      <c r="L23" s="14" t="s">
        <v>54</v>
      </c>
      <c r="M23" s="14" t="s">
        <v>52</v>
      </c>
      <c r="N23"/>
      <c r="O23" s="28"/>
      <c r="P23" s="28"/>
      <c r="Q23" s="28"/>
      <c r="R23" s="6"/>
      <c r="S23" s="28"/>
      <c r="T23" s="28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</row>
    <row r="24" spans="1:260" ht="16.5" customHeight="1">
      <c r="A24" s="184" t="s">
        <v>57</v>
      </c>
      <c r="B24" s="50"/>
      <c r="C24" s="50"/>
      <c r="D24" s="43"/>
      <c r="E24" s="37"/>
      <c r="F24" s="107" t="str">
        <f>IF(E24="","",VLOOKUP(E24,報名總表及收費!$I$29:$L$112,4))</f>
        <v/>
      </c>
      <c r="G24" s="69"/>
      <c r="H24" s="55" t="str">
        <f ca="1">IF(D24="","", IF(D24=0,"",YEAR(NOW())-D24))</f>
        <v/>
      </c>
      <c r="I24" s="140"/>
      <c r="J24" s="129" t="str">
        <f t="shared" ref="J24:J55" si="3">IF(E24="","",IF(((VLOOKUP(E24,$L$24:$T$69,5))&lt;G24),"報項時間慢於達標時間",""))&amp;IF(T24="FAIL","    運動員錯組別","")&amp;IF(MOD(E24,2)=0,""," 項目編號為女子組")</f>
        <v/>
      </c>
      <c r="K24" s="6"/>
      <c r="L24" s="15">
        <v>2</v>
      </c>
      <c r="M24" s="15">
        <f>COUNTIFS($E$24:$E$163,"=2")</f>
        <v>0</v>
      </c>
      <c r="N24" t="str">
        <f>IF(M24&gt;$O$2, L24, "OK")</f>
        <v>OK</v>
      </c>
      <c r="O24" s="114" t="str">
        <f>VLOOKUP(L24,報名總表及收費!$I$30:$K$118,2)</f>
        <v>A</v>
      </c>
      <c r="P24" s="1">
        <f>IF(VLOOKUP(L24,報名總表及收費!$I$30:$K$118,3)=0,"",VLOOKUP(L24,報名總表及收費!$I$30:$K$118,3,FALSE))</f>
        <v>13000</v>
      </c>
      <c r="Q24" s="68">
        <f ca="1">IF(O24="E",YEAR(NOW())-$Q$5,IF(O24="A",YEAR(NOW())-$O$5,IF(O24="B",YEAR(NOW())-$P$5,IF(O24=0,"",O24))))</f>
        <v>16</v>
      </c>
      <c r="R24" s="6" t="str">
        <f t="shared" ref="R24:R55" si="4">IF(E24=0,"",IF(MOD(E24,2)=1,"",VLOOKUP(E24,$L$23:$R$63,6,FALSE)))</f>
        <v/>
      </c>
      <c r="S24" s="6" t="str">
        <f t="shared" ref="S24:S55" si="5">IF(D24=0,"",VLOOKUP(E24,$L$23:$R$63,4,FALSE))</f>
        <v/>
      </c>
      <c r="T24" s="1" t="str">
        <f t="shared" ref="T24:T55" si="6">IF(R24="","",IF(S24="A",IF(H24&gt;=R24,"OK","FAIL"),IF(S24="E",IF(H24&lt;=R24,"OK","FAIL"),IF(S24="B",IF(AND(H24&lt;=R24,H24&gt;=U24),"OK","FAIL"),IF(U24="",IF(H24=S24,"OK","FAIL"),IF(U24="9U",IF(H24&lt;=9,"OK","FAIL"),IF(U24="UP",IF(H24&gt;=15,"OK","FAIL"),IF(U24="DN",IF(H24&lt;=7,"OK","FAIL")))))))))</f>
        <v/>
      </c>
      <c r="U24" t="str">
        <f>IF(R24="15U","UP",IF(R24="7D","DN",IF(R24="9U","9U",IF(S24="B",11,""))))</f>
        <v/>
      </c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</row>
    <row r="25" spans="1:260" ht="16.5" customHeight="1">
      <c r="A25" s="203"/>
      <c r="B25" s="50"/>
      <c r="C25" s="50"/>
      <c r="D25" s="43"/>
      <c r="E25" s="37"/>
      <c r="F25" s="107" t="str">
        <f>IF(E25="","",VLOOKUP(E25,報名總表及收費!$I$29:$L$112,4))</f>
        <v/>
      </c>
      <c r="G25" s="151"/>
      <c r="H25" s="55" t="str">
        <f t="shared" ref="H25:H26" ca="1" si="7">IF(D25="","", IF(D25=0,"",YEAR(NOW())-D25))</f>
        <v/>
      </c>
      <c r="I25" s="140"/>
      <c r="J25" s="129" t="str">
        <f t="shared" si="3"/>
        <v/>
      </c>
      <c r="K25" s="6"/>
      <c r="L25" s="15">
        <v>4</v>
      </c>
      <c r="M25" s="15">
        <f>COUNTIFS($E$24:$E$163,"=4")</f>
        <v>0</v>
      </c>
      <c r="N25" t="str">
        <f t="shared" ref="N25:N64" si="8">IF(M25&gt;$O$2, L25, "OK")</f>
        <v>OK</v>
      </c>
      <c r="O25" s="114" t="str">
        <f>VLOOKUP(L25,報名總表及收費!$I$30:$K$118,2)</f>
        <v>B</v>
      </c>
      <c r="P25" s="1">
        <f>IF(VLOOKUP(L25,報名總表及收費!$I$30:$K$118,3)=0,"",VLOOKUP(L25,報名總表及收費!$I$30:$K$118,3,FALSE))</f>
        <v>13200</v>
      </c>
      <c r="Q25" s="68">
        <f t="shared" ref="Q25:Q88" ca="1" si="9">IF(O25="E",YEAR(NOW())-$Q$5,IF(O25="A",YEAR(NOW())-$O$5,IF(O25="B",YEAR(NOW())-$P$5,IF(O25=0,"",O25))))</f>
        <v>15</v>
      </c>
      <c r="R25" s="6" t="str">
        <f t="shared" si="4"/>
        <v/>
      </c>
      <c r="S25" s="6" t="str">
        <f t="shared" si="5"/>
        <v/>
      </c>
      <c r="T25" s="1" t="str">
        <f t="shared" si="6"/>
        <v/>
      </c>
      <c r="U25" t="str">
        <f t="shared" ref="U25:U88" si="10">IF(R25="15U","UP",IF(R25="7D","DN",IF(R25="9U","9U",IF(S25="B",11,""))))</f>
        <v/>
      </c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</row>
    <row r="26" spans="1:260" ht="16.5" customHeight="1">
      <c r="A26" s="203"/>
      <c r="B26" s="50"/>
      <c r="C26" s="50"/>
      <c r="D26" s="43"/>
      <c r="E26" s="37"/>
      <c r="F26" s="107" t="str">
        <f>IF(E26="","",VLOOKUP(E26,報名總表及收費!$I$29:$L$112,4))</f>
        <v/>
      </c>
      <c r="G26" s="69"/>
      <c r="H26" s="55" t="str">
        <f t="shared" ca="1" si="7"/>
        <v/>
      </c>
      <c r="I26" s="140"/>
      <c r="J26" s="129" t="str">
        <f t="shared" si="3"/>
        <v/>
      </c>
      <c r="K26" s="6"/>
      <c r="L26" s="15">
        <v>6</v>
      </c>
      <c r="M26" s="15">
        <f>COUNTIFS($E$24:$E$163,"=6")</f>
        <v>0</v>
      </c>
      <c r="N26" t="str">
        <f t="shared" si="8"/>
        <v>OK</v>
      </c>
      <c r="O26" s="114" t="str">
        <f>VLOOKUP(L26,報名總表及收費!$I$30:$K$118,2)</f>
        <v>A</v>
      </c>
      <c r="P26" s="1">
        <f>IF(VLOOKUP(L26,報名總表及收費!$I$30:$K$118,3)=0,"",VLOOKUP(L26,報名總表及收費!$I$30:$K$118,3,FALSE))</f>
        <v>3900</v>
      </c>
      <c r="Q26" s="68">
        <f t="shared" ca="1" si="9"/>
        <v>16</v>
      </c>
      <c r="R26" s="6" t="str">
        <f t="shared" si="4"/>
        <v/>
      </c>
      <c r="S26" s="6" t="str">
        <f t="shared" si="5"/>
        <v/>
      </c>
      <c r="T26" s="1" t="str">
        <f t="shared" si="6"/>
        <v/>
      </c>
      <c r="U26" t="str">
        <f t="shared" si="10"/>
        <v/>
      </c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</row>
    <row r="27" spans="1:260" ht="16.5" customHeight="1">
      <c r="A27" s="204"/>
      <c r="B27" s="50"/>
      <c r="C27" s="50"/>
      <c r="D27" s="43"/>
      <c r="E27" s="37"/>
      <c r="F27" s="107" t="str">
        <f>IF(E27="","",VLOOKUP(E27,報名總表及收費!$I$29:$L$112,4))</f>
        <v/>
      </c>
      <c r="G27" s="41"/>
      <c r="H27" s="55" t="str">
        <f t="shared" ref="H27:H89" ca="1" si="11">IF(D27="","", IF(D27=0,"",YEAR(NOW())-D27))</f>
        <v/>
      </c>
      <c r="I27" s="140"/>
      <c r="J27" s="129" t="str">
        <f t="shared" si="3"/>
        <v/>
      </c>
      <c r="K27" s="6"/>
      <c r="L27" s="15">
        <v>8</v>
      </c>
      <c r="M27" s="15">
        <f>COUNTIFS($E$24:$E$163,"=8")</f>
        <v>0</v>
      </c>
      <c r="N27" t="str">
        <f>IF(M27&gt;$O$2, L27, "OK")</f>
        <v>OK</v>
      </c>
      <c r="O27" s="114" t="str">
        <f>VLOOKUP(L27,報名總表及收費!$I$30:$K$118,2)</f>
        <v>B</v>
      </c>
      <c r="P27" s="1">
        <f>IF(VLOOKUP(L27,報名總表及收費!$I$30:$K$118,3)=0,"",VLOOKUP(L27,報名總表及收費!$I$30:$K$118,3,FALSE))</f>
        <v>4200</v>
      </c>
      <c r="Q27" s="68">
        <f t="shared" ca="1" si="9"/>
        <v>15</v>
      </c>
      <c r="R27" s="6" t="str">
        <f t="shared" si="4"/>
        <v/>
      </c>
      <c r="S27" s="6" t="str">
        <f t="shared" si="5"/>
        <v/>
      </c>
      <c r="T27" s="1" t="str">
        <f t="shared" si="6"/>
        <v/>
      </c>
      <c r="U27" t="str">
        <f t="shared" si="10"/>
        <v/>
      </c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</row>
    <row r="28" spans="1:260" ht="16.5" customHeight="1">
      <c r="A28" s="181" t="s">
        <v>58</v>
      </c>
      <c r="B28" s="22"/>
      <c r="C28" s="22"/>
      <c r="D28" s="44"/>
      <c r="E28" s="44"/>
      <c r="F28" s="108" t="str">
        <f>IF(E28="","",VLOOKUP(E28,報名總表及收費!$I$29:$L$112,4))</f>
        <v/>
      </c>
      <c r="G28" s="42"/>
      <c r="H28" s="58" t="str">
        <f t="shared" ca="1" si="11"/>
        <v/>
      </c>
      <c r="I28" s="141"/>
      <c r="J28" s="130" t="str">
        <f t="shared" si="3"/>
        <v/>
      </c>
      <c r="K28" s="6"/>
      <c r="L28" s="15">
        <v>10</v>
      </c>
      <c r="M28" s="15">
        <f>COUNTIFS($E$24:$E$163,"=10")</f>
        <v>0</v>
      </c>
      <c r="N28" t="str">
        <f t="shared" si="8"/>
        <v>OK</v>
      </c>
      <c r="O28" s="114" t="str">
        <f>VLOOKUP(L28,報名總表及收費!$I$30:$K$118,2)</f>
        <v>E</v>
      </c>
      <c r="P28" s="1">
        <f>IF(VLOOKUP(L28,報名總表及收費!$I$30:$K$118,3)=0,"",VLOOKUP(L28,報名總表及收費!$I$30:$K$118,3,FALSE))</f>
        <v>5000</v>
      </c>
      <c r="Q28" s="68">
        <f t="shared" ca="1" si="9"/>
        <v>10</v>
      </c>
      <c r="R28" s="6" t="str">
        <f t="shared" si="4"/>
        <v/>
      </c>
      <c r="S28" s="6" t="str">
        <f t="shared" si="5"/>
        <v/>
      </c>
      <c r="T28" s="1" t="str">
        <f t="shared" si="6"/>
        <v/>
      </c>
      <c r="U28" t="str">
        <f t="shared" si="10"/>
        <v/>
      </c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</row>
    <row r="29" spans="1:260" ht="16.5" customHeight="1">
      <c r="A29" s="182"/>
      <c r="B29" s="22"/>
      <c r="C29" s="22"/>
      <c r="D29" s="44"/>
      <c r="E29" s="44"/>
      <c r="F29" s="108" t="str">
        <f>IF(E29="","",VLOOKUP(E29,報名總表及收費!$I$29:$L$112,4))</f>
        <v/>
      </c>
      <c r="G29" s="49"/>
      <c r="H29" s="58" t="str">
        <f t="shared" ca="1" si="11"/>
        <v/>
      </c>
      <c r="I29" s="141"/>
      <c r="J29" s="130" t="str">
        <f t="shared" si="3"/>
        <v/>
      </c>
      <c r="K29" s="6"/>
      <c r="L29" s="15">
        <v>12</v>
      </c>
      <c r="M29" s="15">
        <f>COUNTIFS($E$24:$E$163,"=12")</f>
        <v>0</v>
      </c>
      <c r="N29" t="str">
        <f t="shared" si="8"/>
        <v>OK</v>
      </c>
      <c r="O29" s="114" t="str">
        <f>VLOOKUP(L29,報名總表及收費!$I$30:$K$118,2)</f>
        <v>A</v>
      </c>
      <c r="P29" s="1">
        <f>IF(VLOOKUP(L29,報名總表及收費!$I$30:$K$118,3)=0,"",VLOOKUP(L29,報名總表及收費!$I$30:$K$118,3,FALSE))</f>
        <v>12600</v>
      </c>
      <c r="Q29" s="68">
        <f t="shared" ca="1" si="9"/>
        <v>16</v>
      </c>
      <c r="R29" s="6" t="str">
        <f t="shared" si="4"/>
        <v/>
      </c>
      <c r="S29" s="6" t="str">
        <f t="shared" si="5"/>
        <v/>
      </c>
      <c r="T29" s="1" t="str">
        <f t="shared" si="6"/>
        <v/>
      </c>
      <c r="U29" t="str">
        <f t="shared" si="10"/>
        <v/>
      </c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</row>
    <row r="30" spans="1:260" ht="16.5" customHeight="1">
      <c r="A30" s="182"/>
      <c r="B30" s="22"/>
      <c r="C30" s="22"/>
      <c r="D30" s="44"/>
      <c r="E30" s="44"/>
      <c r="F30" s="108" t="str">
        <f>IF(E30="","",VLOOKUP(E30,報名總表及收費!$I$29:$L$112,4))</f>
        <v/>
      </c>
      <c r="G30" s="42"/>
      <c r="H30" s="58" t="str">
        <f t="shared" ca="1" si="11"/>
        <v/>
      </c>
      <c r="I30" s="141"/>
      <c r="J30" s="130" t="str">
        <f t="shared" si="3"/>
        <v/>
      </c>
      <c r="K30" s="6"/>
      <c r="L30" s="15">
        <v>14</v>
      </c>
      <c r="M30" s="15">
        <f>COUNTIFS($E$24:$E$163,"=14")</f>
        <v>0</v>
      </c>
      <c r="N30" t="str">
        <f t="shared" si="8"/>
        <v>OK</v>
      </c>
      <c r="O30" s="114" t="str">
        <f>VLOOKUP(L30,報名總表及收費!$I$30:$K$118,2)</f>
        <v>B</v>
      </c>
      <c r="P30" s="1">
        <f>IF(VLOOKUP(L30,報名總表及收費!$I$30:$K$118,3)=0,"",VLOOKUP(L30,報名總表及收費!$I$30:$K$118,3,FALSE))</f>
        <v>12800</v>
      </c>
      <c r="Q30" s="68">
        <f t="shared" ca="1" si="9"/>
        <v>15</v>
      </c>
      <c r="R30" s="6" t="str">
        <f t="shared" si="4"/>
        <v/>
      </c>
      <c r="S30" s="6" t="str">
        <f t="shared" si="5"/>
        <v/>
      </c>
      <c r="T30" s="1" t="str">
        <f t="shared" si="6"/>
        <v/>
      </c>
      <c r="U30" t="str">
        <f t="shared" si="10"/>
        <v/>
      </c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</row>
    <row r="31" spans="1:260" ht="16.5" customHeight="1">
      <c r="A31" s="183"/>
      <c r="B31" s="22"/>
      <c r="C31" s="22"/>
      <c r="D31" s="44"/>
      <c r="E31" s="44"/>
      <c r="F31" s="108" t="str">
        <f>IF(E31="","",VLOOKUP(E31,報名總表及收費!$I$29:$L$112,4))</f>
        <v/>
      </c>
      <c r="G31" s="42"/>
      <c r="H31" s="58" t="str">
        <f t="shared" ca="1" si="11"/>
        <v/>
      </c>
      <c r="I31" s="141"/>
      <c r="J31" s="130" t="str">
        <f t="shared" si="3"/>
        <v/>
      </c>
      <c r="K31" s="6"/>
      <c r="L31" s="15">
        <v>16</v>
      </c>
      <c r="M31" s="15">
        <f>COUNTIFS($E$24:$E$163,"=16")</f>
        <v>0</v>
      </c>
      <c r="N31" t="str">
        <f t="shared" si="8"/>
        <v>OK</v>
      </c>
      <c r="O31" s="114" t="str">
        <f>VLOOKUP(L31,報名總表及收費!$I$30:$K$118,2)</f>
        <v>A</v>
      </c>
      <c r="P31" s="1">
        <f>IF(VLOOKUP(L31,報名總表及收費!$I$30:$K$118,3)=0,"",VLOOKUP(L31,報名總表及收費!$I$30:$K$118,3,FALSE))</f>
        <v>3300</v>
      </c>
      <c r="Q31" s="68">
        <f t="shared" ca="1" si="9"/>
        <v>16</v>
      </c>
      <c r="R31" s="6" t="str">
        <f t="shared" si="4"/>
        <v/>
      </c>
      <c r="S31" s="6" t="str">
        <f t="shared" si="5"/>
        <v/>
      </c>
      <c r="T31" s="1" t="str">
        <f t="shared" si="6"/>
        <v/>
      </c>
      <c r="U31" t="str">
        <f t="shared" si="10"/>
        <v/>
      </c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</row>
    <row r="32" spans="1:260" ht="16.5" customHeight="1">
      <c r="A32" s="184" t="s">
        <v>137</v>
      </c>
      <c r="B32" s="18"/>
      <c r="C32" s="18"/>
      <c r="D32" s="43"/>
      <c r="E32" s="37"/>
      <c r="F32" s="107" t="str">
        <f>IF(E32="","",VLOOKUP(E32,報名總表及收費!$I$29:$L$112,4))</f>
        <v/>
      </c>
      <c r="G32" s="69"/>
      <c r="H32" s="55" t="str">
        <f t="shared" ca="1" si="11"/>
        <v/>
      </c>
      <c r="I32" s="140"/>
      <c r="J32" s="129" t="str">
        <f t="shared" si="3"/>
        <v/>
      </c>
      <c r="K32" s="6"/>
      <c r="L32" s="15">
        <v>18</v>
      </c>
      <c r="M32" s="15">
        <f>COUNTIFS($E$24:$E$163,"=18")</f>
        <v>0</v>
      </c>
      <c r="N32" t="str">
        <f t="shared" si="8"/>
        <v>OK</v>
      </c>
      <c r="O32" s="114" t="str">
        <f>VLOOKUP(L32,報名總表及收費!$I$30:$K$118,2)</f>
        <v>B</v>
      </c>
      <c r="P32" s="1">
        <f>IF(VLOOKUP(L32,報名總表及收費!$I$30:$K$118,3)=0,"",VLOOKUP(L32,報名總表及收費!$I$30:$K$118,3,FALSE))</f>
        <v>3600</v>
      </c>
      <c r="Q32" s="68">
        <f t="shared" ca="1" si="9"/>
        <v>15</v>
      </c>
      <c r="R32" s="6" t="str">
        <f t="shared" si="4"/>
        <v/>
      </c>
      <c r="S32" s="6" t="str">
        <f t="shared" si="5"/>
        <v/>
      </c>
      <c r="T32" s="1" t="str">
        <f t="shared" si="6"/>
        <v/>
      </c>
      <c r="U32" t="str">
        <f t="shared" si="10"/>
        <v/>
      </c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</row>
    <row r="33" spans="1:260" ht="16.5" customHeight="1">
      <c r="A33" s="185"/>
      <c r="B33" s="18"/>
      <c r="C33" s="18"/>
      <c r="D33" s="43"/>
      <c r="E33" s="37"/>
      <c r="F33" s="107" t="str">
        <f>IF(E33="","",VLOOKUP(E33,報名總表及收費!$I$29:$L$112,4))</f>
        <v/>
      </c>
      <c r="G33" s="41"/>
      <c r="H33" s="55" t="str">
        <f t="shared" ca="1" si="11"/>
        <v/>
      </c>
      <c r="I33" s="138"/>
      <c r="J33" s="129" t="str">
        <f t="shared" si="3"/>
        <v/>
      </c>
      <c r="K33" s="6"/>
      <c r="L33" s="15">
        <v>20</v>
      </c>
      <c r="M33" s="15">
        <f>COUNTIFS($E$24:$E$163,"=20")</f>
        <v>0</v>
      </c>
      <c r="N33" t="str">
        <f t="shared" si="8"/>
        <v>OK</v>
      </c>
      <c r="O33" s="114" t="str">
        <f>VLOOKUP(L33,報名總表及收費!$I$30:$K$118,2)</f>
        <v>E</v>
      </c>
      <c r="P33" s="1">
        <f>IF(VLOOKUP(L33,報名總表及收費!$I$30:$K$118,3)=0,"",VLOOKUP(L33,報名總表及收費!$I$30:$K$118,3,FALSE))</f>
        <v>4000</v>
      </c>
      <c r="Q33" s="68">
        <f t="shared" ca="1" si="9"/>
        <v>10</v>
      </c>
      <c r="R33" s="6" t="str">
        <f t="shared" si="4"/>
        <v/>
      </c>
      <c r="S33" s="6" t="str">
        <f t="shared" si="5"/>
        <v/>
      </c>
      <c r="T33" s="1" t="str">
        <f t="shared" si="6"/>
        <v/>
      </c>
      <c r="U33" t="str">
        <f t="shared" si="10"/>
        <v/>
      </c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</row>
    <row r="34" spans="1:260" ht="16.5" customHeight="1">
      <c r="A34" s="185"/>
      <c r="B34" s="18"/>
      <c r="C34" s="18"/>
      <c r="D34" s="43"/>
      <c r="E34" s="37"/>
      <c r="F34" s="107" t="str">
        <f>IF(E34="","",VLOOKUP(E34,報名總表及收費!$I$29:$L$112,4))</f>
        <v/>
      </c>
      <c r="G34" s="41"/>
      <c r="H34" s="55" t="str">
        <f t="shared" ca="1" si="11"/>
        <v/>
      </c>
      <c r="I34" s="140"/>
      <c r="J34" s="129" t="str">
        <f t="shared" si="3"/>
        <v/>
      </c>
      <c r="K34" s="6"/>
      <c r="L34" s="15">
        <v>22</v>
      </c>
      <c r="M34" s="15">
        <f>COUNTIFS($E$24:$E$163,"=22")</f>
        <v>0</v>
      </c>
      <c r="N34" t="str">
        <f t="shared" si="8"/>
        <v>OK</v>
      </c>
      <c r="O34" s="114" t="str">
        <f>VLOOKUP(L34,報名總表及收費!$I$30:$K$118,2)</f>
        <v>A</v>
      </c>
      <c r="P34" s="1" t="str">
        <f>IF(VLOOKUP(L34,報名總表及收費!$I$30:$K$118,3)=0,"",VLOOKUP(L34,報名總表及收費!$I$30:$K$118,3,FALSE))</f>
        <v/>
      </c>
      <c r="Q34" s="68">
        <f t="shared" ca="1" si="9"/>
        <v>16</v>
      </c>
      <c r="R34" s="6" t="str">
        <f t="shared" si="4"/>
        <v/>
      </c>
      <c r="S34" s="6" t="str">
        <f t="shared" si="5"/>
        <v/>
      </c>
      <c r="T34" s="1" t="str">
        <f t="shared" si="6"/>
        <v/>
      </c>
      <c r="U34" t="str">
        <f t="shared" si="10"/>
        <v/>
      </c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</row>
    <row r="35" spans="1:260" ht="16.5" customHeight="1">
      <c r="A35" s="186"/>
      <c r="B35" s="18"/>
      <c r="C35" s="18"/>
      <c r="D35" s="43"/>
      <c r="E35" s="37"/>
      <c r="F35" s="107" t="str">
        <f>IF(E35="","",VLOOKUP(E35,報名總表及收費!$I$29:$L$112,4))</f>
        <v/>
      </c>
      <c r="G35" s="41"/>
      <c r="H35" s="55" t="str">
        <f t="shared" ca="1" si="11"/>
        <v/>
      </c>
      <c r="I35" s="140"/>
      <c r="J35" s="129" t="str">
        <f t="shared" si="3"/>
        <v/>
      </c>
      <c r="K35" s="6"/>
      <c r="L35" s="15">
        <v>24</v>
      </c>
      <c r="M35" s="15">
        <f>COUNTIFS($E$24:$E$163,"=24")</f>
        <v>0</v>
      </c>
      <c r="N35" t="str">
        <f t="shared" si="8"/>
        <v>OK</v>
      </c>
      <c r="O35" s="114" t="str">
        <f>VLOOKUP(L35,報名總表及收費!$I$30:$K$118,2)</f>
        <v>B</v>
      </c>
      <c r="P35" s="1" t="str">
        <f>IF(VLOOKUP(L35,報名總表及收費!$I$30:$K$118,3)=0,"",VLOOKUP(L35,報名總表及收費!$I$30:$K$118,3,FALSE))</f>
        <v/>
      </c>
      <c r="Q35" s="68">
        <f t="shared" ca="1" si="9"/>
        <v>15</v>
      </c>
      <c r="R35" s="6" t="str">
        <f t="shared" si="4"/>
        <v/>
      </c>
      <c r="S35" s="6" t="str">
        <f t="shared" si="5"/>
        <v/>
      </c>
      <c r="T35" s="1" t="str">
        <f t="shared" si="6"/>
        <v/>
      </c>
      <c r="U35" t="str">
        <f t="shared" si="10"/>
        <v/>
      </c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</row>
    <row r="36" spans="1:260" ht="16.5" customHeight="1">
      <c r="A36" s="181" t="s">
        <v>59</v>
      </c>
      <c r="B36" s="51"/>
      <c r="C36" s="22"/>
      <c r="D36" s="44"/>
      <c r="E36" s="44"/>
      <c r="F36" s="108" t="str">
        <f>IF(E36="","",VLOOKUP(E36,報名總表及收費!$I$29:$L$112,4))</f>
        <v/>
      </c>
      <c r="G36" s="42"/>
      <c r="H36" s="58" t="str">
        <f t="shared" ca="1" si="11"/>
        <v/>
      </c>
      <c r="I36" s="141"/>
      <c r="J36" s="130" t="str">
        <f t="shared" si="3"/>
        <v/>
      </c>
      <c r="K36" s="6"/>
      <c r="L36" s="15">
        <v>26</v>
      </c>
      <c r="M36" s="15">
        <f>COUNTIFS($E$24:$E$163,"=26")</f>
        <v>0</v>
      </c>
      <c r="N36" t="str">
        <f t="shared" si="8"/>
        <v>OK</v>
      </c>
      <c r="O36" s="114" t="str">
        <f>VLOOKUP(L36,報名總表及收費!$I$30:$K$118,2)</f>
        <v>E</v>
      </c>
      <c r="P36" s="1" t="str">
        <f>IF(VLOOKUP(L36,報名總表及收費!$I$30:$K$118,3)=0,"",VLOOKUP(L36,報名總表及收費!$I$30:$K$118,3,FALSE))</f>
        <v/>
      </c>
      <c r="Q36" s="68">
        <f t="shared" ca="1" si="9"/>
        <v>10</v>
      </c>
      <c r="R36" s="6" t="str">
        <f t="shared" si="4"/>
        <v/>
      </c>
      <c r="S36" s="6" t="str">
        <f t="shared" si="5"/>
        <v/>
      </c>
      <c r="T36" s="1" t="str">
        <f t="shared" si="6"/>
        <v/>
      </c>
      <c r="U36" t="str">
        <f t="shared" si="10"/>
        <v/>
      </c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</row>
    <row r="37" spans="1:260" ht="16.5" customHeight="1">
      <c r="A37" s="182"/>
      <c r="B37" s="51"/>
      <c r="C37" s="22"/>
      <c r="D37" s="44"/>
      <c r="E37" s="44"/>
      <c r="F37" s="108" t="str">
        <f>IF(E37="","",VLOOKUP(E37,報名總表及收費!$I$29:$L$112,4))</f>
        <v/>
      </c>
      <c r="G37" s="42"/>
      <c r="H37" s="58" t="str">
        <f t="shared" ca="1" si="11"/>
        <v/>
      </c>
      <c r="I37" s="139"/>
      <c r="J37" s="130" t="str">
        <f t="shared" si="3"/>
        <v/>
      </c>
      <c r="K37" s="6"/>
      <c r="L37" s="15">
        <v>28</v>
      </c>
      <c r="M37" s="15">
        <f>COUNTIFS($E$24:$E$163,"=28")</f>
        <v>0</v>
      </c>
      <c r="N37" t="str">
        <f t="shared" si="8"/>
        <v>OK</v>
      </c>
      <c r="O37" s="114" t="str">
        <f>VLOOKUP(L37,報名總表及收費!$I$30:$K$118,2)</f>
        <v>A</v>
      </c>
      <c r="P37" s="1">
        <f>IF(VLOOKUP(L37,報名總表及收費!$I$30:$K$118,3)=0,"",VLOOKUP(L37,報名總表及收費!$I$30:$K$118,3,FALSE))</f>
        <v>12600</v>
      </c>
      <c r="Q37" s="68">
        <f t="shared" ca="1" si="9"/>
        <v>16</v>
      </c>
      <c r="R37" s="6" t="str">
        <f t="shared" si="4"/>
        <v/>
      </c>
      <c r="S37" s="6" t="str">
        <f t="shared" si="5"/>
        <v/>
      </c>
      <c r="T37" s="1" t="str">
        <f t="shared" si="6"/>
        <v/>
      </c>
      <c r="U37" t="str">
        <f t="shared" si="10"/>
        <v/>
      </c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</row>
    <row r="38" spans="1:260" ht="16.5" customHeight="1">
      <c r="A38" s="182"/>
      <c r="B38" s="51"/>
      <c r="C38" s="22"/>
      <c r="D38" s="44"/>
      <c r="E38" s="44"/>
      <c r="F38" s="108" t="str">
        <f>IF(E38="","",VLOOKUP(E38,報名總表及收費!$I$29:$L$112,4))</f>
        <v/>
      </c>
      <c r="G38" s="42"/>
      <c r="H38" s="58" t="str">
        <f t="shared" ca="1" si="11"/>
        <v/>
      </c>
      <c r="I38" s="141"/>
      <c r="J38" s="130" t="str">
        <f t="shared" si="3"/>
        <v/>
      </c>
      <c r="K38" s="6"/>
      <c r="L38" s="15">
        <v>30</v>
      </c>
      <c r="M38" s="15">
        <f>COUNTIFS($E$24:$E$163,"=30")</f>
        <v>0</v>
      </c>
      <c r="N38" t="str">
        <f t="shared" si="8"/>
        <v>OK</v>
      </c>
      <c r="O38" s="114" t="str">
        <f>VLOOKUP(L38,報名總表及收費!$I$30:$K$118,2)</f>
        <v>B</v>
      </c>
      <c r="P38" s="1">
        <f>IF(VLOOKUP(L38,報名總表及收費!$I$30:$K$118,3)=0,"",VLOOKUP(L38,報名總表及收費!$I$30:$K$118,3,FALSE))</f>
        <v>13200</v>
      </c>
      <c r="Q38" s="68">
        <f t="shared" ca="1" si="9"/>
        <v>15</v>
      </c>
      <c r="R38" s="6" t="str">
        <f t="shared" si="4"/>
        <v/>
      </c>
      <c r="S38" s="6" t="str">
        <f t="shared" si="5"/>
        <v/>
      </c>
      <c r="T38" s="1" t="str">
        <f t="shared" si="6"/>
        <v/>
      </c>
      <c r="U38" t="str">
        <f t="shared" si="10"/>
        <v/>
      </c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</row>
    <row r="39" spans="1:260" ht="16.5" customHeight="1">
      <c r="A39" s="183"/>
      <c r="B39" s="51"/>
      <c r="C39" s="22"/>
      <c r="D39" s="44"/>
      <c r="E39" s="44"/>
      <c r="F39" s="108" t="str">
        <f>IF(E39="","",VLOOKUP(E39,報名總表及收費!$I$29:$L$112,4))</f>
        <v/>
      </c>
      <c r="G39" s="42"/>
      <c r="H39" s="58" t="str">
        <f t="shared" ca="1" si="11"/>
        <v/>
      </c>
      <c r="I39" s="141"/>
      <c r="J39" s="130" t="str">
        <f t="shared" si="3"/>
        <v/>
      </c>
      <c r="K39" s="6"/>
      <c r="L39" s="15">
        <v>32</v>
      </c>
      <c r="M39" s="15">
        <f>COUNTIFS($E$24:$E$163,"=32")</f>
        <v>0</v>
      </c>
      <c r="N39" t="str">
        <f t="shared" si="8"/>
        <v>OK</v>
      </c>
      <c r="O39" s="114" t="str">
        <f>VLOOKUP(L39,報名總表及收費!$I$30:$K$118,2)</f>
        <v>A</v>
      </c>
      <c r="P39" s="1">
        <f>IF(VLOOKUP(L39,報名總表及收費!$I$30:$K$118,3)=0,"",VLOOKUP(L39,報名總表及收費!$I$30:$K$118,3,FALSE))</f>
        <v>3600</v>
      </c>
      <c r="Q39" s="68">
        <f t="shared" ca="1" si="9"/>
        <v>16</v>
      </c>
      <c r="R39" s="6" t="str">
        <f t="shared" si="4"/>
        <v/>
      </c>
      <c r="S39" s="6" t="str">
        <f t="shared" si="5"/>
        <v/>
      </c>
      <c r="T39" s="1" t="str">
        <f t="shared" si="6"/>
        <v/>
      </c>
      <c r="U39" t="str">
        <f t="shared" si="10"/>
        <v/>
      </c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</row>
    <row r="40" spans="1:260" ht="16.5" customHeight="1">
      <c r="A40" s="184" t="s">
        <v>60</v>
      </c>
      <c r="B40" s="18"/>
      <c r="C40" s="18"/>
      <c r="D40" s="43"/>
      <c r="E40" s="37"/>
      <c r="F40" s="107" t="str">
        <f>IF(E40="","",VLOOKUP(E40,報名總表及收費!$I$29:$L$112,4))</f>
        <v/>
      </c>
      <c r="G40" s="69"/>
      <c r="H40" s="55" t="str">
        <f t="shared" ca="1" si="11"/>
        <v/>
      </c>
      <c r="I40" s="138"/>
      <c r="J40" s="129" t="str">
        <f t="shared" si="3"/>
        <v/>
      </c>
      <c r="K40" s="6"/>
      <c r="L40" s="15">
        <v>34</v>
      </c>
      <c r="M40" s="15">
        <f>COUNTIFS($E$24:$E$163,"=34")</f>
        <v>0</v>
      </c>
      <c r="N40" t="str">
        <f t="shared" si="8"/>
        <v>OK</v>
      </c>
      <c r="O40" s="114" t="str">
        <f>VLOOKUP(L40,報名總表及收費!$I$30:$K$118,2)</f>
        <v>B</v>
      </c>
      <c r="P40" s="1">
        <f>IF(VLOOKUP(L40,報名總表及收費!$I$30:$K$118,3)=0,"",VLOOKUP(L40,報名總表及收費!$I$30:$K$118,3,FALSE))</f>
        <v>3800</v>
      </c>
      <c r="Q40" s="68">
        <f t="shared" ca="1" si="9"/>
        <v>15</v>
      </c>
      <c r="R40" s="6" t="str">
        <f t="shared" si="4"/>
        <v/>
      </c>
      <c r="S40" s="6" t="str">
        <f t="shared" si="5"/>
        <v/>
      </c>
      <c r="T40" s="1" t="str">
        <f t="shared" si="6"/>
        <v/>
      </c>
      <c r="U40" t="str">
        <f t="shared" si="10"/>
        <v/>
      </c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</row>
    <row r="41" spans="1:260" ht="16.5" customHeight="1">
      <c r="A41" s="185"/>
      <c r="B41" s="18"/>
      <c r="C41" s="18"/>
      <c r="D41" s="43"/>
      <c r="E41" s="37"/>
      <c r="F41" s="107" t="str">
        <f>IF(E41="","",VLOOKUP(E41,報名總表及收費!$I$29:$L$112,4))</f>
        <v/>
      </c>
      <c r="G41" s="41"/>
      <c r="H41" s="55" t="str">
        <f t="shared" ca="1" si="11"/>
        <v/>
      </c>
      <c r="I41" s="140"/>
      <c r="J41" s="129" t="str">
        <f t="shared" si="3"/>
        <v/>
      </c>
      <c r="K41" s="6"/>
      <c r="L41" s="15">
        <v>36</v>
      </c>
      <c r="M41" s="15">
        <f>COUNTIFS($E$24:$E$163,"=36")</f>
        <v>0</v>
      </c>
      <c r="N41" t="str">
        <f t="shared" si="8"/>
        <v>OK</v>
      </c>
      <c r="O41" s="114" t="str">
        <f>VLOOKUP(L41,報名總表及收費!$I$30:$K$118,2)</f>
        <v>E</v>
      </c>
      <c r="P41" s="145">
        <f>IF(VLOOKUP(L41,報名總表及收費!$I$30:$K$118,3)=0,"",VLOOKUP(L41,報名總表及收費!$I$30:$K$118,3,FALSE))</f>
        <v>4500</v>
      </c>
      <c r="Q41" s="68">
        <f t="shared" ca="1" si="9"/>
        <v>10</v>
      </c>
      <c r="R41" s="6" t="str">
        <f t="shared" si="4"/>
        <v/>
      </c>
      <c r="S41" s="6" t="str">
        <f t="shared" si="5"/>
        <v/>
      </c>
      <c r="T41" s="1" t="str">
        <f t="shared" si="6"/>
        <v/>
      </c>
      <c r="U41" t="str">
        <f t="shared" si="10"/>
        <v/>
      </c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</row>
    <row r="42" spans="1:260" ht="16.5" customHeight="1">
      <c r="A42" s="185"/>
      <c r="B42" s="18"/>
      <c r="C42" s="18"/>
      <c r="D42" s="43"/>
      <c r="E42" s="37"/>
      <c r="F42" s="107" t="str">
        <f>IF(E42="","",VLOOKUP(E42,報名總表及收費!$I$29:$L$112,4))</f>
        <v/>
      </c>
      <c r="G42" s="41"/>
      <c r="H42" s="55" t="str">
        <f t="shared" ca="1" si="11"/>
        <v/>
      </c>
      <c r="I42" s="140"/>
      <c r="J42" s="129" t="str">
        <f t="shared" si="3"/>
        <v/>
      </c>
      <c r="K42" s="6"/>
      <c r="L42" s="15">
        <v>38</v>
      </c>
      <c r="M42" s="15">
        <f>COUNTIFS($E$24:$E$163,"=38")</f>
        <v>0</v>
      </c>
      <c r="N42" t="str">
        <f t="shared" si="8"/>
        <v>OK</v>
      </c>
      <c r="O42" s="114" t="str">
        <f>VLOOKUP(L42,報名總表及收費!$I$30:$K$118,2)</f>
        <v>A</v>
      </c>
      <c r="P42" s="145">
        <f>IF(VLOOKUP(L42,報名總表及收費!$I$30:$K$118,3)=0,"",VLOOKUP(L42,報名總表及收費!$I$30:$K$118,3,FALSE))</f>
        <v>12900</v>
      </c>
      <c r="Q42" s="68">
        <f t="shared" ca="1" si="9"/>
        <v>16</v>
      </c>
      <c r="R42" s="6" t="str">
        <f t="shared" si="4"/>
        <v/>
      </c>
      <c r="S42" s="6" t="str">
        <f t="shared" si="5"/>
        <v/>
      </c>
      <c r="T42" s="1" t="str">
        <f t="shared" si="6"/>
        <v/>
      </c>
      <c r="U42" t="str">
        <f t="shared" si="10"/>
        <v/>
      </c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</row>
    <row r="43" spans="1:260" ht="16.5" customHeight="1">
      <c r="A43" s="186"/>
      <c r="B43" s="18"/>
      <c r="C43" s="18"/>
      <c r="D43" s="43"/>
      <c r="E43" s="37"/>
      <c r="F43" s="107" t="str">
        <f>IF(E43="","",VLOOKUP(E43,報名總表及收費!$I$29:$L$112,4))</f>
        <v/>
      </c>
      <c r="G43" s="41"/>
      <c r="H43" s="55" t="str">
        <f t="shared" ca="1" si="11"/>
        <v/>
      </c>
      <c r="I43" s="138"/>
      <c r="J43" s="129" t="str">
        <f t="shared" si="3"/>
        <v/>
      </c>
      <c r="K43" s="6"/>
      <c r="L43" s="15">
        <v>40</v>
      </c>
      <c r="M43" s="15">
        <f>COUNTIFS($E$24:$E$163,"=40")</f>
        <v>0</v>
      </c>
      <c r="N43" t="str">
        <f t="shared" si="8"/>
        <v>OK</v>
      </c>
      <c r="O43" s="114" t="str">
        <f>VLOOKUP(L43,報名總表及收費!$I$30:$K$118,2)</f>
        <v>B</v>
      </c>
      <c r="P43" s="145">
        <f>IF(VLOOKUP(L43,報名總表及收費!$I$30:$K$118,3)=0,"",VLOOKUP(L43,報名總表及收費!$I$30:$K$118,3,FALSE))</f>
        <v>13400</v>
      </c>
      <c r="Q43" s="68">
        <f t="shared" ca="1" si="9"/>
        <v>15</v>
      </c>
      <c r="R43" s="6" t="str">
        <f t="shared" si="4"/>
        <v/>
      </c>
      <c r="S43" s="6" t="str">
        <f t="shared" si="5"/>
        <v/>
      </c>
      <c r="T43" s="1" t="str">
        <f t="shared" si="6"/>
        <v/>
      </c>
      <c r="U43" t="str">
        <f t="shared" si="10"/>
        <v/>
      </c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</row>
    <row r="44" spans="1:260" ht="16.5" customHeight="1">
      <c r="A44" s="181" t="s">
        <v>61</v>
      </c>
      <c r="B44" s="22"/>
      <c r="C44" s="22"/>
      <c r="D44" s="44"/>
      <c r="E44" s="44"/>
      <c r="F44" s="108" t="str">
        <f>IF(E44="","",VLOOKUP(E44,報名總表及收費!$I$29:$L$112,4))</f>
        <v/>
      </c>
      <c r="G44" s="42"/>
      <c r="H44" s="58" t="str">
        <f t="shared" ca="1" si="11"/>
        <v/>
      </c>
      <c r="I44" s="141"/>
      <c r="J44" s="130" t="str">
        <f t="shared" si="3"/>
        <v/>
      </c>
      <c r="K44" s="6"/>
      <c r="L44" s="15">
        <v>42</v>
      </c>
      <c r="M44" s="15">
        <f>COUNTIFS($E$24:$E$163,"=42")</f>
        <v>0</v>
      </c>
      <c r="N44" t="str">
        <f t="shared" si="8"/>
        <v>OK</v>
      </c>
      <c r="O44" s="114" t="str">
        <f>VLOOKUP(L44,報名總表及收費!$I$30:$K$118,2)</f>
        <v>A</v>
      </c>
      <c r="P44" s="145">
        <f>IF(VLOOKUP(L44,報名總表及收費!$I$30:$K$118,3)=0,"",VLOOKUP(L44,報名總表及收費!$I$30:$K$118,3,FALSE))</f>
        <v>3500</v>
      </c>
      <c r="Q44" s="68">
        <f t="shared" ca="1" si="9"/>
        <v>16</v>
      </c>
      <c r="R44" s="6" t="str">
        <f t="shared" si="4"/>
        <v/>
      </c>
      <c r="S44" s="6" t="str">
        <f t="shared" si="5"/>
        <v/>
      </c>
      <c r="T44" s="1" t="str">
        <f t="shared" si="6"/>
        <v/>
      </c>
      <c r="U44" t="str">
        <f t="shared" si="10"/>
        <v/>
      </c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</row>
    <row r="45" spans="1:260" ht="16.5" customHeight="1">
      <c r="A45" s="182"/>
      <c r="B45" s="22"/>
      <c r="C45" s="22"/>
      <c r="D45" s="44"/>
      <c r="E45" s="44"/>
      <c r="F45" s="108" t="str">
        <f>IF(E45="","",VLOOKUP(E45,報名總表及收費!$I$29:$L$112,4))</f>
        <v/>
      </c>
      <c r="G45" s="42"/>
      <c r="H45" s="58" t="str">
        <f t="shared" ca="1" si="11"/>
        <v/>
      </c>
      <c r="I45" s="141"/>
      <c r="J45" s="130" t="str">
        <f t="shared" si="3"/>
        <v/>
      </c>
      <c r="K45" s="6"/>
      <c r="L45" s="15">
        <v>44</v>
      </c>
      <c r="M45" s="15">
        <f>COUNTIFS($E$24:$E$163,"=44")</f>
        <v>0</v>
      </c>
      <c r="N45" t="str">
        <f t="shared" si="8"/>
        <v>OK</v>
      </c>
      <c r="O45" s="114" t="str">
        <f>VLOOKUP(L45,報名總表及收費!$I$30:$K$118,2)</f>
        <v>B</v>
      </c>
      <c r="P45" s="145">
        <f>IF(VLOOKUP(L45,報名總表及收費!$I$30:$K$118,3)=0,"",VLOOKUP(L45,報名總表及收費!$I$30:$K$118,3,FALSE))</f>
        <v>3800</v>
      </c>
      <c r="Q45" s="68">
        <f t="shared" ca="1" si="9"/>
        <v>15</v>
      </c>
      <c r="R45" s="6" t="str">
        <f t="shared" si="4"/>
        <v/>
      </c>
      <c r="S45" s="6" t="str">
        <f t="shared" si="5"/>
        <v/>
      </c>
      <c r="T45" s="1" t="str">
        <f t="shared" si="6"/>
        <v/>
      </c>
      <c r="U45" t="str">
        <f t="shared" si="10"/>
        <v/>
      </c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</row>
    <row r="46" spans="1:260" ht="16.5" customHeight="1">
      <c r="A46" s="182"/>
      <c r="B46" s="22"/>
      <c r="C46" s="22"/>
      <c r="D46" s="44"/>
      <c r="E46" s="44"/>
      <c r="F46" s="108" t="str">
        <f>IF(E46="","",VLOOKUP(E46,報名總表及收費!$I$29:$L$112,4))</f>
        <v/>
      </c>
      <c r="G46" s="42"/>
      <c r="H46" s="58" t="str">
        <f t="shared" ca="1" si="11"/>
        <v/>
      </c>
      <c r="I46" s="141"/>
      <c r="J46" s="130" t="str">
        <f t="shared" si="3"/>
        <v/>
      </c>
      <c r="K46" s="6"/>
      <c r="L46" s="15">
        <v>46</v>
      </c>
      <c r="M46" s="15">
        <f>COUNTIFS($E$24:$E$163,"=46")</f>
        <v>0</v>
      </c>
      <c r="N46" t="str">
        <f t="shared" si="8"/>
        <v>OK</v>
      </c>
      <c r="O46" s="114" t="str">
        <f>VLOOKUP(L46,報名總表及收費!$I$30:$K$118,2)</f>
        <v>E</v>
      </c>
      <c r="P46" s="145">
        <f>IF(VLOOKUP(L46,報名總表及收費!$I$30:$K$118,3)=0,"",VLOOKUP(L46,報名總表及收費!$I$30:$K$118,3,FALSE))</f>
        <v>4500</v>
      </c>
      <c r="Q46" s="68">
        <f t="shared" ca="1" si="9"/>
        <v>10</v>
      </c>
      <c r="R46" s="6" t="str">
        <f t="shared" si="4"/>
        <v/>
      </c>
      <c r="S46" s="6" t="str">
        <f t="shared" si="5"/>
        <v/>
      </c>
      <c r="T46" s="1" t="str">
        <f t="shared" si="6"/>
        <v/>
      </c>
      <c r="U46" t="str">
        <f t="shared" si="10"/>
        <v/>
      </c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</row>
    <row r="47" spans="1:260" ht="16.5" customHeight="1">
      <c r="A47" s="183"/>
      <c r="B47" s="22"/>
      <c r="C47" s="22"/>
      <c r="D47" s="44"/>
      <c r="E47" s="44"/>
      <c r="F47" s="108" t="str">
        <f>IF(E47="","",VLOOKUP(E47,報名總表及收費!$I$29:$L$112,4))</f>
        <v/>
      </c>
      <c r="G47" s="42"/>
      <c r="H47" s="58" t="str">
        <f t="shared" ca="1" si="11"/>
        <v/>
      </c>
      <c r="I47" s="141"/>
      <c r="J47" s="130" t="str">
        <f t="shared" si="3"/>
        <v/>
      </c>
      <c r="K47" s="6"/>
      <c r="L47" s="15">
        <v>48</v>
      </c>
      <c r="M47" s="15">
        <f>COUNTIFS($E$24:$E$163,"=48")</f>
        <v>0</v>
      </c>
      <c r="N47" t="str">
        <f t="shared" si="8"/>
        <v>OK</v>
      </c>
      <c r="O47" s="114" t="str">
        <f>VLOOKUP(L47,報名總表及收費!$I$30:$K$118,2)</f>
        <v>A</v>
      </c>
      <c r="P47" s="145">
        <f>IF(VLOOKUP(L47,報名總表及收費!$I$30:$K$118,3)=0,"",VLOOKUP(L47,報名總表及收費!$I$30:$K$118,3,FALSE))</f>
        <v>11400</v>
      </c>
      <c r="Q47" s="68">
        <f t="shared" ca="1" si="9"/>
        <v>16</v>
      </c>
      <c r="R47" s="6" t="str">
        <f t="shared" si="4"/>
        <v/>
      </c>
      <c r="S47" s="6" t="str">
        <f t="shared" si="5"/>
        <v/>
      </c>
      <c r="T47" s="1" t="str">
        <f t="shared" si="6"/>
        <v/>
      </c>
      <c r="U47" t="str">
        <f t="shared" si="10"/>
        <v/>
      </c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</row>
    <row r="48" spans="1:260" ht="16.5" customHeight="1">
      <c r="A48" s="184" t="s">
        <v>62</v>
      </c>
      <c r="B48" s="18"/>
      <c r="C48" s="18"/>
      <c r="D48" s="43"/>
      <c r="E48" s="37"/>
      <c r="F48" s="107" t="str">
        <f>IF(E48="","",VLOOKUP(E48,報名總表及收費!$I$29:$L$112,4))</f>
        <v/>
      </c>
      <c r="G48" s="41"/>
      <c r="H48" s="55" t="str">
        <f t="shared" ca="1" si="11"/>
        <v/>
      </c>
      <c r="I48" s="140"/>
      <c r="J48" s="129" t="str">
        <f t="shared" si="3"/>
        <v/>
      </c>
      <c r="K48" s="6"/>
      <c r="L48" s="15">
        <v>50</v>
      </c>
      <c r="M48" s="15">
        <f>COUNTIFS($E$24:$E$163,"=50")</f>
        <v>0</v>
      </c>
      <c r="N48" t="str">
        <f t="shared" si="8"/>
        <v>OK</v>
      </c>
      <c r="O48" s="114" t="str">
        <f>VLOOKUP(L48,報名總表及收費!$I$30:$K$118,2)</f>
        <v>B</v>
      </c>
      <c r="P48" s="145">
        <f>IF(VLOOKUP(L48,報名總表及收費!$I$30:$K$118,3)=0,"",VLOOKUP(L48,報名總表及收費!$I$30:$K$118,3,FALSE))</f>
        <v>11900</v>
      </c>
      <c r="Q48" s="68">
        <f t="shared" ca="1" si="9"/>
        <v>15</v>
      </c>
      <c r="R48" s="6" t="str">
        <f t="shared" si="4"/>
        <v/>
      </c>
      <c r="S48" s="6" t="str">
        <f t="shared" si="5"/>
        <v/>
      </c>
      <c r="T48" s="1" t="str">
        <f t="shared" si="6"/>
        <v/>
      </c>
      <c r="U48" t="str">
        <f t="shared" si="10"/>
        <v/>
      </c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</row>
    <row r="49" spans="1:260" ht="16.5" customHeight="1">
      <c r="A49" s="185"/>
      <c r="B49" s="18"/>
      <c r="C49" s="18"/>
      <c r="D49" s="43"/>
      <c r="E49" s="37"/>
      <c r="F49" s="107" t="str">
        <f>IF(E49="","",VLOOKUP(E49,報名總表及收費!$I$29:$L$112,4))</f>
        <v/>
      </c>
      <c r="G49" s="41"/>
      <c r="H49" s="55" t="str">
        <f t="shared" ca="1" si="11"/>
        <v/>
      </c>
      <c r="I49" s="140"/>
      <c r="J49" s="129" t="str">
        <f t="shared" si="3"/>
        <v/>
      </c>
      <c r="K49" s="6"/>
      <c r="L49" s="15">
        <v>52</v>
      </c>
      <c r="M49" s="15">
        <f>COUNTIFS($E$24:$E$163,"=52")</f>
        <v>0</v>
      </c>
      <c r="N49" t="str">
        <f t="shared" si="8"/>
        <v>OK</v>
      </c>
      <c r="O49" s="114" t="str">
        <f>VLOOKUP(L49,報名總表及收費!$I$30:$K$118,2)</f>
        <v>A</v>
      </c>
      <c r="P49" s="145" t="str">
        <f>IF(VLOOKUP(L49,報名總表及收費!$I$30:$K$118,3)=0,"",VLOOKUP(L49,報名總表及收費!$I$30:$K$118,3,FALSE))</f>
        <v/>
      </c>
      <c r="Q49" s="68">
        <f t="shared" ca="1" si="9"/>
        <v>16</v>
      </c>
      <c r="R49" s="6" t="str">
        <f t="shared" si="4"/>
        <v/>
      </c>
      <c r="S49" s="6" t="str">
        <f t="shared" si="5"/>
        <v/>
      </c>
      <c r="T49" s="1" t="str">
        <f t="shared" si="6"/>
        <v/>
      </c>
      <c r="U49" t="str">
        <f t="shared" si="10"/>
        <v/>
      </c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</row>
    <row r="50" spans="1:260" ht="16.5" customHeight="1">
      <c r="A50" s="185"/>
      <c r="B50" s="18"/>
      <c r="C50" s="18"/>
      <c r="D50" s="43"/>
      <c r="E50" s="37"/>
      <c r="F50" s="107" t="str">
        <f>IF(E50="","",VLOOKUP(E50,報名總表及收費!$I$29:$L$112,4))</f>
        <v/>
      </c>
      <c r="G50" s="41"/>
      <c r="H50" s="55" t="str">
        <f t="shared" ca="1" si="11"/>
        <v/>
      </c>
      <c r="I50" s="140"/>
      <c r="J50" s="129" t="str">
        <f t="shared" si="3"/>
        <v/>
      </c>
      <c r="K50" s="6"/>
      <c r="L50" s="15">
        <v>54</v>
      </c>
      <c r="M50" s="15">
        <f>COUNTIFS($E$24:$E$163,"=54")</f>
        <v>0</v>
      </c>
      <c r="N50" t="str">
        <f t="shared" si="8"/>
        <v>OK</v>
      </c>
      <c r="O50" s="114" t="str">
        <f>VLOOKUP(L50,報名總表及收費!$I$30:$K$118,2)</f>
        <v>B</v>
      </c>
      <c r="P50" s="1" t="str">
        <f>IF(VLOOKUP(L50,報名總表及收費!$I$30:$K$118,3)=0,"",VLOOKUP(L50,報名總表及收費!$I$30:$K$118,3,FALSE))</f>
        <v/>
      </c>
      <c r="Q50" s="68">
        <f t="shared" ca="1" si="9"/>
        <v>15</v>
      </c>
      <c r="R50" s="6" t="str">
        <f t="shared" si="4"/>
        <v/>
      </c>
      <c r="S50" s="6" t="str">
        <f t="shared" si="5"/>
        <v/>
      </c>
      <c r="T50" s="1" t="str">
        <f t="shared" si="6"/>
        <v/>
      </c>
      <c r="U50" t="str">
        <f t="shared" si="10"/>
        <v/>
      </c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</row>
    <row r="51" spans="1:260" ht="16.5" customHeight="1">
      <c r="A51" s="186"/>
      <c r="B51" s="18"/>
      <c r="C51" s="18"/>
      <c r="D51" s="43"/>
      <c r="E51" s="37"/>
      <c r="F51" s="107" t="str">
        <f>IF(E51="","",VLOOKUP(E51,報名總表及收費!$I$29:$L$112,4))</f>
        <v/>
      </c>
      <c r="G51" s="69"/>
      <c r="H51" s="55" t="str">
        <f t="shared" ca="1" si="11"/>
        <v/>
      </c>
      <c r="I51" s="140"/>
      <c r="J51" s="129" t="str">
        <f t="shared" si="3"/>
        <v/>
      </c>
      <c r="K51" s="6"/>
      <c r="L51" s="15">
        <v>56</v>
      </c>
      <c r="M51" s="15">
        <f>COUNTIFS($E$24:$E$163,"=56")</f>
        <v>0</v>
      </c>
      <c r="N51" t="str">
        <f t="shared" si="8"/>
        <v>OK</v>
      </c>
      <c r="O51" t="str">
        <f>VLOOKUP(L51,報名總表及收費!$I$30:$K$118,2)</f>
        <v/>
      </c>
      <c r="P51" s="1" t="str">
        <f>IF(VLOOKUP(L51,報名總表及收費!$I$30:$K$118,3)=0,"",VLOOKUP(L51,報名總表及收費!$I$30:$K$118,3,FALSE))</f>
        <v/>
      </c>
      <c r="Q51" s="68" t="str">
        <f t="shared" ca="1" si="9"/>
        <v/>
      </c>
      <c r="R51" s="6" t="str">
        <f t="shared" si="4"/>
        <v/>
      </c>
      <c r="S51" s="6" t="str">
        <f t="shared" si="5"/>
        <v/>
      </c>
      <c r="T51" s="1" t="str">
        <f t="shared" si="6"/>
        <v/>
      </c>
      <c r="U51" t="str">
        <f t="shared" si="10"/>
        <v/>
      </c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</row>
    <row r="52" spans="1:260" ht="16.5" customHeight="1">
      <c r="A52" s="181" t="s">
        <v>63</v>
      </c>
      <c r="B52" s="22"/>
      <c r="C52" s="22"/>
      <c r="D52" s="44"/>
      <c r="E52" s="44"/>
      <c r="F52" s="108" t="str">
        <f>IF(E52="","",VLOOKUP(E52,報名總表及收費!$I$29:$L$112,4))</f>
        <v/>
      </c>
      <c r="G52" s="42"/>
      <c r="H52" s="58" t="str">
        <f t="shared" ca="1" si="11"/>
        <v/>
      </c>
      <c r="I52" s="141"/>
      <c r="J52" s="130" t="str">
        <f t="shared" si="3"/>
        <v/>
      </c>
      <c r="K52" s="6"/>
      <c r="L52" s="15">
        <v>58</v>
      </c>
      <c r="M52" s="15">
        <f>COUNTIFS($E$24:$E$163,"=58")</f>
        <v>0</v>
      </c>
      <c r="N52" t="str">
        <f t="shared" si="8"/>
        <v>OK</v>
      </c>
      <c r="O52" t="str">
        <f>VLOOKUP(L52,報名總表及收費!$I$30:$K$118,2)</f>
        <v/>
      </c>
      <c r="P52" s="1" t="str">
        <f>IF(VLOOKUP(L52,報名總表及收費!$I$30:$K$118,3)=0,"",VLOOKUP(L52,報名總表及收費!$I$30:$K$118,3,FALSE))</f>
        <v/>
      </c>
      <c r="Q52" s="68" t="str">
        <f t="shared" ca="1" si="9"/>
        <v/>
      </c>
      <c r="R52" s="6" t="str">
        <f t="shared" si="4"/>
        <v/>
      </c>
      <c r="S52" s="6" t="str">
        <f t="shared" si="5"/>
        <v/>
      </c>
      <c r="T52" s="1" t="str">
        <f t="shared" si="6"/>
        <v/>
      </c>
      <c r="U52" t="str">
        <f t="shared" si="10"/>
        <v/>
      </c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</row>
    <row r="53" spans="1:260" ht="16.5" customHeight="1">
      <c r="A53" s="182"/>
      <c r="B53" s="22"/>
      <c r="C53" s="22"/>
      <c r="D53" s="44"/>
      <c r="E53" s="44"/>
      <c r="F53" s="108" t="str">
        <f>IF(E53="","",VLOOKUP(E53,報名總表及收費!$I$29:$L$112,4))</f>
        <v/>
      </c>
      <c r="G53" s="42"/>
      <c r="H53" s="58" t="str">
        <f t="shared" ca="1" si="11"/>
        <v/>
      </c>
      <c r="I53" s="141"/>
      <c r="J53" s="130" t="str">
        <f t="shared" si="3"/>
        <v/>
      </c>
      <c r="K53" s="6"/>
      <c r="L53" s="15">
        <v>60</v>
      </c>
      <c r="M53" s="15">
        <f>COUNTIFS($E$24:$E$163,"=60")</f>
        <v>0</v>
      </c>
      <c r="N53" t="str">
        <f t="shared" si="8"/>
        <v>OK</v>
      </c>
      <c r="O53" t="str">
        <f>VLOOKUP(L53,報名總表及收費!$I$30:$K$118,2)</f>
        <v/>
      </c>
      <c r="P53" s="1" t="str">
        <f>IF(VLOOKUP(L53,報名總表及收費!$I$30:$K$118,3)=0,"",VLOOKUP(L53,報名總表及收費!$I$30:$K$118,3,FALSE))</f>
        <v/>
      </c>
      <c r="Q53" s="68" t="str">
        <f t="shared" ca="1" si="9"/>
        <v/>
      </c>
      <c r="R53" s="6" t="str">
        <f t="shared" si="4"/>
        <v/>
      </c>
      <c r="S53" s="6" t="str">
        <f t="shared" si="5"/>
        <v/>
      </c>
      <c r="T53" s="1" t="str">
        <f t="shared" si="6"/>
        <v/>
      </c>
      <c r="U53" t="str">
        <f t="shared" si="10"/>
        <v/>
      </c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</row>
    <row r="54" spans="1:260" ht="16.5" customHeight="1">
      <c r="A54" s="182"/>
      <c r="B54" s="22"/>
      <c r="C54" s="22"/>
      <c r="D54" s="44"/>
      <c r="E54" s="44"/>
      <c r="F54" s="108" t="str">
        <f>IF(E54="","",VLOOKUP(E54,報名總表及收費!$I$29:$L$112,4))</f>
        <v/>
      </c>
      <c r="G54" s="42"/>
      <c r="H54" s="58" t="str">
        <f t="shared" ca="1" si="11"/>
        <v/>
      </c>
      <c r="I54" s="141"/>
      <c r="J54" s="130" t="str">
        <f t="shared" si="3"/>
        <v/>
      </c>
      <c r="K54" s="6"/>
      <c r="L54" s="15">
        <v>62</v>
      </c>
      <c r="M54" s="15">
        <f>COUNTIFS($E$24:$E$163,"=62")</f>
        <v>0</v>
      </c>
      <c r="N54" t="str">
        <f t="shared" si="8"/>
        <v>OK</v>
      </c>
      <c r="O54" t="str">
        <f>VLOOKUP(L54,報名總表及收費!$I$30:$K$118,2)</f>
        <v/>
      </c>
      <c r="P54" s="1" t="str">
        <f>IF(VLOOKUP(L54,報名總表及收費!$I$30:$K$118,3)=0,"",VLOOKUP(L54,報名總表及收費!$I$30:$K$118,3,FALSE))</f>
        <v/>
      </c>
      <c r="Q54" s="68" t="str">
        <f t="shared" ca="1" si="9"/>
        <v/>
      </c>
      <c r="R54" s="6" t="str">
        <f t="shared" si="4"/>
        <v/>
      </c>
      <c r="S54" s="6" t="str">
        <f t="shared" si="5"/>
        <v/>
      </c>
      <c r="T54" s="1" t="str">
        <f t="shared" si="6"/>
        <v/>
      </c>
      <c r="U54" t="str">
        <f t="shared" si="10"/>
        <v/>
      </c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</row>
    <row r="55" spans="1:260" ht="16.5" customHeight="1">
      <c r="A55" s="183"/>
      <c r="B55" s="22"/>
      <c r="C55" s="22"/>
      <c r="D55" s="44"/>
      <c r="E55" s="44"/>
      <c r="F55" s="108" t="str">
        <f>IF(E55="","",VLOOKUP(E55,報名總表及收費!$I$29:$L$112,4))</f>
        <v/>
      </c>
      <c r="G55" s="42"/>
      <c r="H55" s="58" t="str">
        <f t="shared" ca="1" si="11"/>
        <v/>
      </c>
      <c r="I55" s="141"/>
      <c r="J55" s="130" t="str">
        <f t="shared" si="3"/>
        <v/>
      </c>
      <c r="K55" s="16"/>
      <c r="L55" s="15">
        <v>64</v>
      </c>
      <c r="M55" s="15">
        <f>COUNTIFS($E$24:$E$163,"=64")</f>
        <v>0</v>
      </c>
      <c r="N55" t="str">
        <f t="shared" si="8"/>
        <v>OK</v>
      </c>
      <c r="O55" t="str">
        <f>VLOOKUP(L55,報名總表及收費!$I$30:$K$118,2)</f>
        <v/>
      </c>
      <c r="P55" s="1" t="str">
        <f>IF(VLOOKUP(L55,報名總表及收費!$I$30:$K$118,3)=0,"",VLOOKUP(L55,報名總表及收費!$I$30:$K$118,3,FALSE))</f>
        <v/>
      </c>
      <c r="Q55" s="68" t="str">
        <f t="shared" ca="1" si="9"/>
        <v/>
      </c>
      <c r="R55" s="6" t="str">
        <f t="shared" si="4"/>
        <v/>
      </c>
      <c r="S55" s="6" t="str">
        <f t="shared" si="5"/>
        <v/>
      </c>
      <c r="T55" s="1" t="str">
        <f t="shared" si="6"/>
        <v/>
      </c>
      <c r="U55" t="str">
        <f t="shared" si="10"/>
        <v/>
      </c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</row>
    <row r="56" spans="1:260" ht="16.5" customHeight="1">
      <c r="A56" s="184" t="s">
        <v>64</v>
      </c>
      <c r="B56" s="18"/>
      <c r="C56" s="18"/>
      <c r="D56" s="43"/>
      <c r="E56" s="37"/>
      <c r="F56" s="107" t="str">
        <f>IF(E56="","",VLOOKUP(E56,報名總表及收費!$I$29:$L$112,4))</f>
        <v/>
      </c>
      <c r="G56" s="69"/>
      <c r="H56" s="55" t="str">
        <f t="shared" ca="1" si="11"/>
        <v/>
      </c>
      <c r="I56" s="140"/>
      <c r="J56" s="129" t="str">
        <f t="shared" ref="J56:J87" si="12">IF(E56="","",IF(((VLOOKUP(E56,$L$24:$T$69,5))&lt;G56),"報項時間慢於達標時間",""))&amp;IF(T56="FAIL","    運動員錯組別","")&amp;IF(MOD(E56,2)=0,""," 項目編號為女子組")</f>
        <v/>
      </c>
      <c r="K56" s="16"/>
      <c r="L56" s="15">
        <v>66</v>
      </c>
      <c r="M56" s="15">
        <f>COUNTIFS($E$24:$E$163,"=66")</f>
        <v>0</v>
      </c>
      <c r="N56" t="str">
        <f t="shared" si="8"/>
        <v>OK</v>
      </c>
      <c r="O56" t="str">
        <f>VLOOKUP(L56,報名總表及收費!$I$30:$K$118,2)</f>
        <v/>
      </c>
      <c r="P56" s="1" t="str">
        <f>IF(VLOOKUP(L56,報名總表及收費!$I$30:$K$118,3)=0,"",VLOOKUP(L56,報名總表及收費!$I$30:$K$118,3,FALSE))</f>
        <v/>
      </c>
      <c r="Q56" s="68" t="str">
        <f t="shared" ca="1" si="9"/>
        <v/>
      </c>
      <c r="R56" s="6" t="str">
        <f t="shared" ref="R56:R87" si="13">IF(E56=0,"",IF(MOD(E56,2)=1,"",VLOOKUP(E56,$L$23:$R$63,6,FALSE)))</f>
        <v/>
      </c>
      <c r="S56" s="6" t="str">
        <f t="shared" ref="S56:S87" si="14">IF(D56=0,"",VLOOKUP(E56,$L$23:$R$63,4,FALSE))</f>
        <v/>
      </c>
      <c r="T56" s="1" t="str">
        <f t="shared" ref="T56:T87" si="15">IF(R56="","",IF(S56="A",IF(H56&gt;=R56,"OK","FAIL"),IF(S56="E",IF(H56&lt;=R56,"OK","FAIL"),IF(S56="B",IF(AND(H56&lt;=R56,H56&gt;=U56),"OK","FAIL"),IF(U56="",IF(H56=S56,"OK","FAIL"),IF(U56="9U",IF(H56&lt;=9,"OK","FAIL"),IF(U56="UP",IF(H56&gt;=15,"OK","FAIL"),IF(U56="DN",IF(H56&lt;=7,"OK","FAIL")))))))))</f>
        <v/>
      </c>
      <c r="U56" t="str">
        <f t="shared" si="10"/>
        <v/>
      </c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  <c r="IZ56"/>
    </row>
    <row r="57" spans="1:260" ht="16.5" customHeight="1">
      <c r="A57" s="185"/>
      <c r="B57" s="18"/>
      <c r="C57" s="18"/>
      <c r="D57" s="43"/>
      <c r="E57" s="37"/>
      <c r="F57" s="107" t="str">
        <f>IF(E57="","",VLOOKUP(E57,報名總表及收費!$I$29:$L$112,4))</f>
        <v/>
      </c>
      <c r="G57" s="41"/>
      <c r="H57" s="55" t="str">
        <f t="shared" ca="1" si="11"/>
        <v/>
      </c>
      <c r="I57" s="140"/>
      <c r="J57" s="129" t="str">
        <f t="shared" si="12"/>
        <v/>
      </c>
      <c r="K57" s="16"/>
      <c r="L57" s="15">
        <v>68</v>
      </c>
      <c r="M57" s="15">
        <f>COUNTIFS($E$24:$E$163,"=68")</f>
        <v>0</v>
      </c>
      <c r="N57" t="str">
        <f t="shared" si="8"/>
        <v>OK</v>
      </c>
      <c r="O57" t="str">
        <f>VLOOKUP(L57,報名總表及收費!$I$30:$K$118,2)</f>
        <v/>
      </c>
      <c r="P57" s="1" t="str">
        <f>IF(VLOOKUP(L57,報名總表及收費!$I$30:$K$118,3)=0,"",VLOOKUP(L57,報名總表及收費!$I$30:$K$118,3,FALSE))</f>
        <v/>
      </c>
      <c r="Q57" s="68" t="str">
        <f t="shared" ca="1" si="9"/>
        <v/>
      </c>
      <c r="R57" s="6" t="str">
        <f t="shared" si="13"/>
        <v/>
      </c>
      <c r="S57" s="6" t="str">
        <f t="shared" si="14"/>
        <v/>
      </c>
      <c r="T57" s="1" t="str">
        <f t="shared" si="15"/>
        <v/>
      </c>
      <c r="U57" t="str">
        <f t="shared" si="10"/>
        <v/>
      </c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</row>
    <row r="58" spans="1:260" ht="16.5" customHeight="1">
      <c r="A58" s="185"/>
      <c r="B58" s="18"/>
      <c r="C58" s="18"/>
      <c r="D58" s="43"/>
      <c r="E58" s="37"/>
      <c r="F58" s="107" t="str">
        <f>IF(E58="","",VLOOKUP(E58,報名總表及收費!$I$29:$L$112,4))</f>
        <v/>
      </c>
      <c r="G58" s="41"/>
      <c r="H58" s="55" t="str">
        <f t="shared" ca="1" si="11"/>
        <v/>
      </c>
      <c r="I58" s="140"/>
      <c r="J58" s="129" t="str">
        <f t="shared" si="12"/>
        <v/>
      </c>
      <c r="K58" s="16"/>
      <c r="L58" s="15">
        <v>70</v>
      </c>
      <c r="M58" s="15">
        <f t="shared" ref="M58" si="16">COUNTIFS($E$24:$E$163,"=64")</f>
        <v>0</v>
      </c>
      <c r="N58" t="str">
        <f t="shared" si="8"/>
        <v>OK</v>
      </c>
      <c r="O58" t="str">
        <f>VLOOKUP(L58,報名總表及收費!$I$30:$K$118,2)</f>
        <v/>
      </c>
      <c r="P58" s="1" t="str">
        <f>IF(VLOOKUP(L58,報名總表及收費!$I$30:$K$118,3)=0,"",VLOOKUP(L58,報名總表及收費!$I$30:$K$118,3,FALSE))</f>
        <v/>
      </c>
      <c r="Q58" s="68" t="str">
        <f t="shared" ca="1" si="9"/>
        <v/>
      </c>
      <c r="R58" s="6" t="str">
        <f t="shared" si="13"/>
        <v/>
      </c>
      <c r="S58" s="6" t="str">
        <f t="shared" si="14"/>
        <v/>
      </c>
      <c r="T58" s="1" t="str">
        <f t="shared" si="15"/>
        <v/>
      </c>
      <c r="U58" t="str">
        <f t="shared" si="10"/>
        <v/>
      </c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  <c r="IZ58"/>
    </row>
    <row r="59" spans="1:260" ht="16.5" customHeight="1">
      <c r="A59" s="186"/>
      <c r="B59" s="18"/>
      <c r="C59" s="18"/>
      <c r="D59" s="43"/>
      <c r="E59" s="37"/>
      <c r="F59" s="107" t="str">
        <f>IF(E59="","",VLOOKUP(E59,報名總表及收費!$I$29:$L$112,4))</f>
        <v/>
      </c>
      <c r="G59" s="41"/>
      <c r="H59" s="55" t="str">
        <f t="shared" ca="1" si="11"/>
        <v/>
      </c>
      <c r="I59" s="140"/>
      <c r="J59" s="129" t="str">
        <f t="shared" si="12"/>
        <v/>
      </c>
      <c r="K59" s="16"/>
      <c r="L59" s="15">
        <v>72</v>
      </c>
      <c r="M59" s="15">
        <f t="shared" ref="M59" si="17">COUNTIFS($E$24:$E$163,"=66")</f>
        <v>0</v>
      </c>
      <c r="N59" t="str">
        <f t="shared" si="8"/>
        <v>OK</v>
      </c>
      <c r="O59" t="str">
        <f>VLOOKUP(L59,報名總表及收費!$I$30:$K$118,2)</f>
        <v/>
      </c>
      <c r="P59" s="1" t="str">
        <f>IF(VLOOKUP(L59,報名總表及收費!$I$30:$K$118,3)=0,"",VLOOKUP(L59,報名總表及收費!$I$30:$K$118,3,FALSE))</f>
        <v/>
      </c>
      <c r="Q59" s="68" t="str">
        <f t="shared" ca="1" si="9"/>
        <v/>
      </c>
      <c r="R59" s="6" t="str">
        <f t="shared" si="13"/>
        <v/>
      </c>
      <c r="S59" s="6" t="str">
        <f t="shared" si="14"/>
        <v/>
      </c>
      <c r="T59" s="1" t="str">
        <f t="shared" si="15"/>
        <v/>
      </c>
      <c r="U59" t="str">
        <f t="shared" si="10"/>
        <v/>
      </c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  <c r="IZ59"/>
    </row>
    <row r="60" spans="1:260" ht="16.5" customHeight="1">
      <c r="A60" s="181" t="s">
        <v>65</v>
      </c>
      <c r="B60" s="22"/>
      <c r="C60" s="22"/>
      <c r="D60" s="44"/>
      <c r="E60" s="44"/>
      <c r="F60" s="108" t="str">
        <f>IF(E60="","",VLOOKUP(E60,報名總表及收費!$I$29:$L$112,4))</f>
        <v/>
      </c>
      <c r="G60" s="42"/>
      <c r="H60" s="58" t="str">
        <f t="shared" ca="1" si="11"/>
        <v/>
      </c>
      <c r="I60" s="141"/>
      <c r="J60" s="130" t="str">
        <f t="shared" si="12"/>
        <v/>
      </c>
      <c r="K60" s="16"/>
      <c r="L60" s="15">
        <v>74</v>
      </c>
      <c r="M60" s="15">
        <f t="shared" ref="M60" si="18">COUNTIFS($E$24:$E$163,"=68")</f>
        <v>0</v>
      </c>
      <c r="N60" t="str">
        <f t="shared" si="8"/>
        <v>OK</v>
      </c>
      <c r="O60" t="str">
        <f>VLOOKUP(L60,報名總表及收費!$I$30:$K$118,2)</f>
        <v/>
      </c>
      <c r="P60" s="1" t="str">
        <f>IF(VLOOKUP(L60,報名總表及收費!$I$30:$K$118,3)=0,"",VLOOKUP(L60,報名總表及收費!$I$30:$K$118,3,FALSE))</f>
        <v/>
      </c>
      <c r="Q60" s="68" t="str">
        <f t="shared" ca="1" si="9"/>
        <v/>
      </c>
      <c r="R60" s="6" t="str">
        <f t="shared" si="13"/>
        <v/>
      </c>
      <c r="S60" s="6" t="str">
        <f t="shared" si="14"/>
        <v/>
      </c>
      <c r="T60" s="1" t="str">
        <f t="shared" si="15"/>
        <v/>
      </c>
      <c r="U60" t="str">
        <f t="shared" si="10"/>
        <v/>
      </c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  <c r="IY60"/>
      <c r="IZ60"/>
    </row>
    <row r="61" spans="1:260" ht="16.5" customHeight="1">
      <c r="A61" s="182"/>
      <c r="B61" s="22"/>
      <c r="C61" s="22"/>
      <c r="D61" s="44"/>
      <c r="E61" s="44"/>
      <c r="F61" s="108" t="str">
        <f>IF(E61="","",VLOOKUP(E61,報名總表及收費!$I$29:$L$112,4))</f>
        <v/>
      </c>
      <c r="G61" s="42"/>
      <c r="H61" s="58" t="str">
        <f t="shared" ca="1" si="11"/>
        <v/>
      </c>
      <c r="I61" s="141"/>
      <c r="J61" s="130" t="str">
        <f t="shared" si="12"/>
        <v/>
      </c>
      <c r="K61" s="16"/>
      <c r="L61" s="15">
        <v>76</v>
      </c>
      <c r="M61" s="15">
        <f t="shared" ref="M61" si="19">COUNTIFS($E$24:$E$163,"=64")</f>
        <v>0</v>
      </c>
      <c r="N61" t="str">
        <f t="shared" si="8"/>
        <v>OK</v>
      </c>
      <c r="O61" t="str">
        <f>VLOOKUP(L61,報名總表及收費!$I$30:$K$118,2)</f>
        <v/>
      </c>
      <c r="P61" s="1" t="str">
        <f>IF(VLOOKUP(L61,報名總表及收費!$I$30:$K$118,3)=0,"",VLOOKUP(L61,報名總表及收費!$I$30:$K$118,3,FALSE))</f>
        <v/>
      </c>
      <c r="Q61" s="68" t="str">
        <f t="shared" ca="1" si="9"/>
        <v/>
      </c>
      <c r="R61" s="6" t="str">
        <f t="shared" si="13"/>
        <v/>
      </c>
      <c r="S61" s="6" t="str">
        <f t="shared" si="14"/>
        <v/>
      </c>
      <c r="T61" s="1" t="str">
        <f t="shared" si="15"/>
        <v/>
      </c>
      <c r="U61" t="str">
        <f t="shared" si="10"/>
        <v/>
      </c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  <c r="IW61"/>
      <c r="IX61"/>
      <c r="IY61"/>
      <c r="IZ61"/>
    </row>
    <row r="62" spans="1:260" ht="16.5" customHeight="1">
      <c r="A62" s="182"/>
      <c r="B62" s="22"/>
      <c r="C62" s="22"/>
      <c r="D62" s="44"/>
      <c r="E62" s="44"/>
      <c r="F62" s="108" t="str">
        <f>IF(E62="","",VLOOKUP(E62,報名總表及收費!$I$29:$L$112,4))</f>
        <v/>
      </c>
      <c r="G62" s="42"/>
      <c r="H62" s="58" t="str">
        <f t="shared" ca="1" si="11"/>
        <v/>
      </c>
      <c r="I62" s="141"/>
      <c r="J62" s="130" t="str">
        <f t="shared" si="12"/>
        <v/>
      </c>
      <c r="K62" s="16"/>
      <c r="L62" s="15">
        <v>78</v>
      </c>
      <c r="M62" s="15">
        <f t="shared" ref="M62" si="20">COUNTIFS($E$24:$E$163,"=66")</f>
        <v>0</v>
      </c>
      <c r="N62" t="str">
        <f t="shared" si="8"/>
        <v>OK</v>
      </c>
      <c r="O62" t="str">
        <f>VLOOKUP(L62,報名總表及收費!$I$30:$K$118,2)</f>
        <v/>
      </c>
      <c r="P62" s="1" t="str">
        <f>IF(VLOOKUP(L62,報名總表及收費!$I$30:$K$118,3)=0,"",VLOOKUP(L62,報名總表及收費!$I$30:$K$118,3,FALSE))</f>
        <v/>
      </c>
      <c r="Q62" s="68" t="str">
        <f t="shared" ca="1" si="9"/>
        <v/>
      </c>
      <c r="R62" s="6" t="str">
        <f t="shared" si="13"/>
        <v/>
      </c>
      <c r="S62" s="6" t="str">
        <f t="shared" si="14"/>
        <v/>
      </c>
      <c r="T62" s="1" t="str">
        <f t="shared" si="15"/>
        <v/>
      </c>
      <c r="U62" t="str">
        <f t="shared" si="10"/>
        <v/>
      </c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  <c r="IZ62"/>
    </row>
    <row r="63" spans="1:260" ht="16.5" customHeight="1">
      <c r="A63" s="183"/>
      <c r="B63" s="22"/>
      <c r="C63" s="22"/>
      <c r="D63" s="44"/>
      <c r="E63" s="44"/>
      <c r="F63" s="108" t="str">
        <f>IF(E63="","",VLOOKUP(E63,報名總表及收費!$I$29:$L$112,4))</f>
        <v/>
      </c>
      <c r="G63" s="42"/>
      <c r="H63" s="58" t="str">
        <f t="shared" ca="1" si="11"/>
        <v/>
      </c>
      <c r="I63" s="141"/>
      <c r="J63" s="130" t="str">
        <f t="shared" si="12"/>
        <v/>
      </c>
      <c r="K63" s="16"/>
      <c r="L63" s="15">
        <v>80</v>
      </c>
      <c r="M63" s="15">
        <f t="shared" ref="M63" si="21">COUNTIFS($E$24:$E$163,"=68")</f>
        <v>0</v>
      </c>
      <c r="N63" t="str">
        <f t="shared" si="8"/>
        <v>OK</v>
      </c>
      <c r="O63" t="str">
        <f>VLOOKUP(L63,報名總表及收費!$I$30:$K$118,2)</f>
        <v/>
      </c>
      <c r="P63" s="1" t="str">
        <f>IF(VLOOKUP(L63,報名總表及收費!$I$30:$K$118,3)=0,"",VLOOKUP(L63,報名總表及收費!$I$30:$K$118,3,FALSE))</f>
        <v/>
      </c>
      <c r="Q63" s="68" t="str">
        <f t="shared" ca="1" si="9"/>
        <v/>
      </c>
      <c r="R63" s="6" t="str">
        <f t="shared" si="13"/>
        <v/>
      </c>
      <c r="S63" s="6" t="str">
        <f t="shared" si="14"/>
        <v/>
      </c>
      <c r="T63" s="1" t="str">
        <f t="shared" si="15"/>
        <v/>
      </c>
      <c r="U63" t="str">
        <f t="shared" si="10"/>
        <v/>
      </c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  <c r="IY63"/>
      <c r="IZ63"/>
    </row>
    <row r="64" spans="1:260" ht="16.5" customHeight="1">
      <c r="A64" s="184" t="s">
        <v>66</v>
      </c>
      <c r="B64" s="18"/>
      <c r="C64" s="18"/>
      <c r="D64" s="43"/>
      <c r="E64" s="37"/>
      <c r="F64" s="107" t="str">
        <f>IF(E64="","",VLOOKUP(E64,報名總表及收費!$I$29:$L$112,4))</f>
        <v/>
      </c>
      <c r="G64" s="69"/>
      <c r="H64" s="55" t="str">
        <f t="shared" ref="H64:H69" ca="1" si="22">IF(D64="","", IF(D64=0,"",YEAR(NOW())-D64))</f>
        <v/>
      </c>
      <c r="I64" s="140"/>
      <c r="J64" s="129" t="str">
        <f t="shared" si="12"/>
        <v/>
      </c>
      <c r="K64" s="16"/>
      <c r="L64" s="15">
        <v>82</v>
      </c>
      <c r="M64" s="15">
        <f t="shared" ref="M64" si="23">COUNTIFS($E$24:$E$163,"=64")</f>
        <v>0</v>
      </c>
      <c r="N64" t="str">
        <f t="shared" si="8"/>
        <v>OK</v>
      </c>
      <c r="O64" t="str">
        <f>VLOOKUP(L64,報名總表及收費!$I$30:$K$118,2)</f>
        <v/>
      </c>
      <c r="P64" s="1" t="str">
        <f>IF(VLOOKUP(L64,報名總表及收費!$I$30:$K$118,3)=0,"",VLOOKUP(L64,報名總表及收費!$I$30:$K$118,3,FALSE))</f>
        <v/>
      </c>
      <c r="Q64" s="68" t="str">
        <f t="shared" ca="1" si="9"/>
        <v/>
      </c>
      <c r="R64" s="6" t="str">
        <f t="shared" si="13"/>
        <v/>
      </c>
      <c r="S64" s="6" t="str">
        <f t="shared" ref="S64:S69" si="24">IF(D64=0,"",VLOOKUP(E64,$L$23:$R$63,4,FALSE))</f>
        <v/>
      </c>
      <c r="T64" s="1" t="str">
        <f t="shared" si="15"/>
        <v/>
      </c>
      <c r="U64" t="str">
        <f t="shared" si="10"/>
        <v/>
      </c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  <c r="IZ64"/>
    </row>
    <row r="65" spans="1:260" ht="16.5" customHeight="1">
      <c r="A65" s="185"/>
      <c r="B65" s="18"/>
      <c r="C65" s="18"/>
      <c r="D65" s="43"/>
      <c r="E65" s="37"/>
      <c r="F65" s="107" t="str">
        <f>IF(E65="","",VLOOKUP(E65,報名總表及收費!$I$29:$L$112,4))</f>
        <v/>
      </c>
      <c r="G65" s="41"/>
      <c r="H65" s="55" t="str">
        <f t="shared" ca="1" si="22"/>
        <v/>
      </c>
      <c r="I65" s="140"/>
      <c r="J65" s="129" t="str">
        <f t="shared" si="12"/>
        <v/>
      </c>
      <c r="K65" s="16"/>
      <c r="L65" s="16"/>
      <c r="M65" s="40">
        <f>SUM(M24:M64)</f>
        <v>0</v>
      </c>
      <c r="N65"/>
      <c r="O65"/>
      <c r="P65"/>
      <c r="Q65" s="68" t="str">
        <f t="shared" ca="1" si="9"/>
        <v/>
      </c>
      <c r="R65" s="6" t="str">
        <f t="shared" si="13"/>
        <v/>
      </c>
      <c r="S65" s="6" t="str">
        <f t="shared" si="24"/>
        <v/>
      </c>
      <c r="T65" s="1" t="str">
        <f t="shared" si="15"/>
        <v/>
      </c>
      <c r="U65" t="str">
        <f t="shared" si="10"/>
        <v/>
      </c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  <c r="IY65"/>
      <c r="IZ65"/>
    </row>
    <row r="66" spans="1:260" ht="16.5" customHeight="1">
      <c r="A66" s="185"/>
      <c r="B66" s="18"/>
      <c r="C66" s="18"/>
      <c r="D66" s="43"/>
      <c r="E66" s="37"/>
      <c r="F66" s="107" t="str">
        <f>IF(E66="","",VLOOKUP(E66,報名總表及收費!$I$29:$L$112,4))</f>
        <v/>
      </c>
      <c r="G66" s="41"/>
      <c r="H66" s="55" t="str">
        <f t="shared" ca="1" si="22"/>
        <v/>
      </c>
      <c r="I66" s="140"/>
      <c r="J66" s="129" t="str">
        <f t="shared" si="12"/>
        <v/>
      </c>
      <c r="K66" s="16"/>
      <c r="L66" s="16"/>
      <c r="M66" s="16"/>
      <c r="N66"/>
      <c r="O66"/>
      <c r="P66"/>
      <c r="Q66" s="68" t="str">
        <f t="shared" ca="1" si="9"/>
        <v/>
      </c>
      <c r="R66" s="6" t="str">
        <f t="shared" si="13"/>
        <v/>
      </c>
      <c r="S66" s="6" t="str">
        <f t="shared" si="24"/>
        <v/>
      </c>
      <c r="T66" s="1" t="str">
        <f t="shared" si="15"/>
        <v/>
      </c>
      <c r="U66" t="str">
        <f t="shared" si="10"/>
        <v/>
      </c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  <c r="IW66"/>
      <c r="IX66"/>
      <c r="IY66"/>
      <c r="IZ66"/>
    </row>
    <row r="67" spans="1:260" ht="16.5" customHeight="1">
      <c r="A67" s="186"/>
      <c r="B67" s="18"/>
      <c r="C67" s="18"/>
      <c r="D67" s="43"/>
      <c r="E67" s="37"/>
      <c r="F67" s="107" t="str">
        <f>IF(E67="","",VLOOKUP(E67,報名總表及收費!$I$29:$L$112,4))</f>
        <v/>
      </c>
      <c r="G67" s="41"/>
      <c r="H67" s="55" t="str">
        <f t="shared" ca="1" si="22"/>
        <v/>
      </c>
      <c r="I67" s="140"/>
      <c r="J67" s="129" t="str">
        <f t="shared" si="12"/>
        <v/>
      </c>
      <c r="K67" s="16"/>
      <c r="L67" s="16"/>
      <c r="M67" s="16"/>
      <c r="N67"/>
      <c r="O67"/>
      <c r="P67"/>
      <c r="Q67" s="68" t="str">
        <f t="shared" ca="1" si="9"/>
        <v/>
      </c>
      <c r="R67" s="6" t="str">
        <f t="shared" si="13"/>
        <v/>
      </c>
      <c r="S67" s="6" t="str">
        <f t="shared" si="24"/>
        <v/>
      </c>
      <c r="T67" s="1" t="str">
        <f t="shared" si="15"/>
        <v/>
      </c>
      <c r="U67" t="str">
        <f t="shared" si="10"/>
        <v/>
      </c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  <c r="IZ67"/>
    </row>
    <row r="68" spans="1:260" ht="16.5" customHeight="1">
      <c r="A68" s="181" t="s">
        <v>67</v>
      </c>
      <c r="B68" s="22"/>
      <c r="C68" s="22"/>
      <c r="D68" s="44"/>
      <c r="E68" s="38"/>
      <c r="F68" s="108" t="str">
        <f>IF(E68="","",VLOOKUP(E68,報名總表及收費!$I$29:$L$112,4))</f>
        <v/>
      </c>
      <c r="G68" s="42"/>
      <c r="H68" s="58" t="str">
        <f t="shared" ca="1" si="22"/>
        <v/>
      </c>
      <c r="I68" s="141"/>
      <c r="J68" s="130" t="str">
        <f t="shared" si="12"/>
        <v/>
      </c>
      <c r="K68" s="16"/>
      <c r="L68" s="16"/>
      <c r="M68" s="16"/>
      <c r="N68"/>
      <c r="O68"/>
      <c r="P68"/>
      <c r="Q68" s="68" t="str">
        <f t="shared" ca="1" si="9"/>
        <v/>
      </c>
      <c r="R68" s="6" t="str">
        <f t="shared" si="13"/>
        <v/>
      </c>
      <c r="S68" s="6" t="str">
        <f t="shared" si="24"/>
        <v/>
      </c>
      <c r="T68" s="1" t="str">
        <f t="shared" si="15"/>
        <v/>
      </c>
      <c r="U68" t="str">
        <f t="shared" si="10"/>
        <v/>
      </c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  <c r="IZ68"/>
    </row>
    <row r="69" spans="1:260" ht="16.5" customHeight="1">
      <c r="A69" s="182"/>
      <c r="B69" s="22"/>
      <c r="C69" s="22"/>
      <c r="D69" s="44"/>
      <c r="E69" s="38"/>
      <c r="F69" s="108" t="str">
        <f>IF(E69="","",VLOOKUP(E69,報名總表及收費!$I$29:$L$112,4))</f>
        <v/>
      </c>
      <c r="G69" s="42"/>
      <c r="H69" s="58" t="str">
        <f t="shared" ca="1" si="22"/>
        <v/>
      </c>
      <c r="I69" s="141"/>
      <c r="J69" s="130" t="str">
        <f t="shared" si="12"/>
        <v/>
      </c>
      <c r="K69" s="16"/>
      <c r="L69" s="16"/>
      <c r="M69" s="16"/>
      <c r="N69"/>
      <c r="O69"/>
      <c r="P69"/>
      <c r="Q69" s="68" t="str">
        <f t="shared" ca="1" si="9"/>
        <v/>
      </c>
      <c r="R69" s="6" t="str">
        <f t="shared" si="13"/>
        <v/>
      </c>
      <c r="S69" s="6" t="str">
        <f t="shared" si="24"/>
        <v/>
      </c>
      <c r="T69" s="1" t="str">
        <f t="shared" si="15"/>
        <v/>
      </c>
      <c r="U69" t="str">
        <f t="shared" si="10"/>
        <v/>
      </c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  <c r="IZ69"/>
    </row>
    <row r="70" spans="1:260" ht="16.5" customHeight="1">
      <c r="A70" s="182"/>
      <c r="B70" s="22"/>
      <c r="C70" s="22"/>
      <c r="D70" s="44"/>
      <c r="E70" s="38"/>
      <c r="F70" s="108" t="str">
        <f>IF(E70="","",VLOOKUP(E70,報名總表及收費!$I$29:$L$112,4))</f>
        <v/>
      </c>
      <c r="G70" s="42"/>
      <c r="H70" s="58" t="str">
        <f t="shared" ca="1" si="11"/>
        <v/>
      </c>
      <c r="I70" s="141"/>
      <c r="J70" s="130" t="str">
        <f t="shared" si="12"/>
        <v/>
      </c>
      <c r="K70" s="16"/>
      <c r="L70" s="16"/>
      <c r="M70" s="16"/>
      <c r="N70"/>
      <c r="O70"/>
      <c r="P70"/>
      <c r="Q70" s="68" t="str">
        <f t="shared" ca="1" si="9"/>
        <v/>
      </c>
      <c r="R70" s="6" t="str">
        <f t="shared" si="13"/>
        <v/>
      </c>
      <c r="S70" s="6" t="str">
        <f t="shared" si="14"/>
        <v/>
      </c>
      <c r="T70" s="1" t="str">
        <f t="shared" si="15"/>
        <v/>
      </c>
      <c r="U70" t="str">
        <f t="shared" si="10"/>
        <v/>
      </c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  <c r="IZ70"/>
    </row>
    <row r="71" spans="1:260" ht="16.5" customHeight="1">
      <c r="A71" s="183"/>
      <c r="B71" s="22"/>
      <c r="C71" s="22"/>
      <c r="D71" s="44"/>
      <c r="E71" s="38"/>
      <c r="F71" s="108" t="str">
        <f>IF(E71="","",VLOOKUP(E71,報名總表及收費!$I$29:$L$112,4))</f>
        <v/>
      </c>
      <c r="G71" s="42"/>
      <c r="H71" s="58" t="str">
        <f t="shared" ca="1" si="11"/>
        <v/>
      </c>
      <c r="I71" s="141"/>
      <c r="J71" s="130" t="str">
        <f t="shared" si="12"/>
        <v/>
      </c>
      <c r="K71" s="16"/>
      <c r="L71" s="16"/>
      <c r="M71" s="16"/>
      <c r="N71"/>
      <c r="O71"/>
      <c r="P71"/>
      <c r="Q71" s="68" t="str">
        <f t="shared" ca="1" si="9"/>
        <v/>
      </c>
      <c r="R71" s="6" t="str">
        <f t="shared" si="13"/>
        <v/>
      </c>
      <c r="S71" s="6" t="str">
        <f t="shared" si="14"/>
        <v/>
      </c>
      <c r="T71" s="1" t="str">
        <f t="shared" si="15"/>
        <v/>
      </c>
      <c r="U71" t="str">
        <f t="shared" si="10"/>
        <v/>
      </c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  <c r="IV71"/>
      <c r="IW71"/>
      <c r="IX71"/>
      <c r="IY71"/>
      <c r="IZ71"/>
    </row>
    <row r="72" spans="1:260" ht="16.5" customHeight="1">
      <c r="A72" s="184" t="s">
        <v>68</v>
      </c>
      <c r="B72" s="18"/>
      <c r="C72" s="18"/>
      <c r="D72" s="43"/>
      <c r="E72" s="37"/>
      <c r="F72" s="107" t="str">
        <f>IF(E72="","",VLOOKUP(E72,報名總表及收費!$I$29:$L$112,4))</f>
        <v/>
      </c>
      <c r="G72" s="69"/>
      <c r="H72" s="55" t="str">
        <f t="shared" ca="1" si="11"/>
        <v/>
      </c>
      <c r="I72" s="140"/>
      <c r="J72" s="129" t="str">
        <f t="shared" si="12"/>
        <v/>
      </c>
      <c r="K72" s="16"/>
      <c r="L72" s="16"/>
      <c r="M72" s="16"/>
      <c r="N72"/>
      <c r="O72"/>
      <c r="P72"/>
      <c r="Q72" s="68" t="str">
        <f t="shared" ca="1" si="9"/>
        <v/>
      </c>
      <c r="R72" s="6" t="str">
        <f t="shared" si="13"/>
        <v/>
      </c>
      <c r="S72" s="6" t="str">
        <f t="shared" si="14"/>
        <v/>
      </c>
      <c r="T72" s="1" t="str">
        <f t="shared" si="15"/>
        <v/>
      </c>
      <c r="U72" t="str">
        <f t="shared" si="10"/>
        <v/>
      </c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  <c r="IW72"/>
      <c r="IX72"/>
      <c r="IY72"/>
      <c r="IZ72"/>
    </row>
    <row r="73" spans="1:260" ht="16.5" customHeight="1">
      <c r="A73" s="185"/>
      <c r="B73" s="18"/>
      <c r="C73" s="18"/>
      <c r="D73" s="43"/>
      <c r="E73" s="37"/>
      <c r="F73" s="107" t="str">
        <f>IF(E73="","",VLOOKUP(E73,報名總表及收費!$I$29:$L$112,4))</f>
        <v/>
      </c>
      <c r="G73" s="41"/>
      <c r="H73" s="55" t="str">
        <f t="shared" ca="1" si="11"/>
        <v/>
      </c>
      <c r="I73" s="140"/>
      <c r="J73" s="129" t="str">
        <f t="shared" si="12"/>
        <v/>
      </c>
      <c r="K73" s="16"/>
      <c r="L73" s="16"/>
      <c r="M73" s="16"/>
      <c r="N73"/>
      <c r="O73"/>
      <c r="P73"/>
      <c r="Q73" s="68" t="str">
        <f t="shared" ca="1" si="9"/>
        <v/>
      </c>
      <c r="R73" s="6" t="str">
        <f t="shared" si="13"/>
        <v/>
      </c>
      <c r="S73" s="6" t="str">
        <f t="shared" si="14"/>
        <v/>
      </c>
      <c r="T73" s="1" t="str">
        <f t="shared" si="15"/>
        <v/>
      </c>
      <c r="U73" t="str">
        <f t="shared" si="10"/>
        <v/>
      </c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  <c r="IW73"/>
      <c r="IX73"/>
      <c r="IY73"/>
      <c r="IZ73"/>
    </row>
    <row r="74" spans="1:260" ht="16.5" customHeight="1">
      <c r="A74" s="185"/>
      <c r="B74" s="18"/>
      <c r="C74" s="18"/>
      <c r="D74" s="43"/>
      <c r="E74" s="37"/>
      <c r="F74" s="107" t="str">
        <f>IF(E74="","",VLOOKUP(E74,報名總表及收費!$I$29:$L$112,4))</f>
        <v/>
      </c>
      <c r="G74" s="41"/>
      <c r="H74" s="55" t="str">
        <f t="shared" ca="1" si="11"/>
        <v/>
      </c>
      <c r="I74" s="140"/>
      <c r="J74" s="129" t="str">
        <f t="shared" si="12"/>
        <v/>
      </c>
      <c r="K74" s="16"/>
      <c r="L74" s="16"/>
      <c r="M74" s="16"/>
      <c r="N74"/>
      <c r="O74"/>
      <c r="P74"/>
      <c r="Q74" s="68" t="str">
        <f t="shared" ca="1" si="9"/>
        <v/>
      </c>
      <c r="R74" s="6" t="str">
        <f t="shared" si="13"/>
        <v/>
      </c>
      <c r="S74" s="6" t="str">
        <f t="shared" si="14"/>
        <v/>
      </c>
      <c r="T74" s="1" t="str">
        <f t="shared" si="15"/>
        <v/>
      </c>
      <c r="U74" t="str">
        <f t="shared" si="10"/>
        <v/>
      </c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  <c r="IV74"/>
      <c r="IW74"/>
      <c r="IX74"/>
      <c r="IY74"/>
      <c r="IZ74"/>
    </row>
    <row r="75" spans="1:260" ht="16.5" customHeight="1">
      <c r="A75" s="186"/>
      <c r="B75" s="18"/>
      <c r="C75" s="18"/>
      <c r="D75" s="43"/>
      <c r="E75" s="37"/>
      <c r="F75" s="107" t="str">
        <f>IF(E75="","",VLOOKUP(E75,報名總表及收費!$I$29:$L$112,4))</f>
        <v/>
      </c>
      <c r="G75" s="41"/>
      <c r="H75" s="55" t="str">
        <f t="shared" ca="1" si="11"/>
        <v/>
      </c>
      <c r="I75" s="140"/>
      <c r="J75" s="129" t="str">
        <f t="shared" si="12"/>
        <v/>
      </c>
      <c r="K75" s="16"/>
      <c r="L75" s="16"/>
      <c r="M75" s="16"/>
      <c r="N75"/>
      <c r="O75"/>
      <c r="P75"/>
      <c r="Q75" s="68" t="str">
        <f t="shared" ca="1" si="9"/>
        <v/>
      </c>
      <c r="R75" s="6" t="str">
        <f t="shared" si="13"/>
        <v/>
      </c>
      <c r="S75" s="6" t="str">
        <f t="shared" si="14"/>
        <v/>
      </c>
      <c r="T75" s="1" t="str">
        <f t="shared" si="15"/>
        <v/>
      </c>
      <c r="U75" t="str">
        <f t="shared" si="10"/>
        <v/>
      </c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  <c r="IW75"/>
      <c r="IX75"/>
      <c r="IY75"/>
      <c r="IZ75"/>
    </row>
    <row r="76" spans="1:260" ht="16.5" customHeight="1">
      <c r="A76" s="181" t="s">
        <v>69</v>
      </c>
      <c r="B76" s="22"/>
      <c r="C76" s="22"/>
      <c r="D76" s="44"/>
      <c r="E76" s="38"/>
      <c r="F76" s="108" t="str">
        <f>IF(E76="","",VLOOKUP(E76,報名總表及收費!$I$29:$L$112,4))</f>
        <v/>
      </c>
      <c r="G76" s="42"/>
      <c r="H76" s="58" t="str">
        <f t="shared" ca="1" si="11"/>
        <v/>
      </c>
      <c r="I76" s="141"/>
      <c r="J76" s="130" t="str">
        <f t="shared" si="12"/>
        <v/>
      </c>
      <c r="K76" s="16"/>
      <c r="L76" s="16"/>
      <c r="M76" s="16"/>
      <c r="N76"/>
      <c r="O76"/>
      <c r="P76"/>
      <c r="Q76" s="68" t="str">
        <f t="shared" ca="1" si="9"/>
        <v/>
      </c>
      <c r="R76" s="6" t="str">
        <f t="shared" si="13"/>
        <v/>
      </c>
      <c r="S76" s="6" t="str">
        <f t="shared" si="14"/>
        <v/>
      </c>
      <c r="T76" s="1" t="str">
        <f t="shared" si="15"/>
        <v/>
      </c>
      <c r="U76" t="str">
        <f t="shared" si="10"/>
        <v/>
      </c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  <c r="IW76"/>
      <c r="IX76"/>
      <c r="IY76"/>
      <c r="IZ76"/>
    </row>
    <row r="77" spans="1:260" ht="16.5" customHeight="1">
      <c r="A77" s="182"/>
      <c r="B77" s="22"/>
      <c r="C77" s="22"/>
      <c r="D77" s="44"/>
      <c r="E77" s="38"/>
      <c r="F77" s="108" t="str">
        <f>IF(E77="","",VLOOKUP(E77,報名總表及收費!$I$29:$L$112,4))</f>
        <v/>
      </c>
      <c r="G77" s="42"/>
      <c r="H77" s="58" t="str">
        <f t="shared" ca="1" si="11"/>
        <v/>
      </c>
      <c r="I77" s="141"/>
      <c r="J77" s="130" t="str">
        <f t="shared" si="12"/>
        <v/>
      </c>
      <c r="K77" s="16"/>
      <c r="L77" s="16"/>
      <c r="M77" s="16"/>
      <c r="N77"/>
      <c r="O77"/>
      <c r="P77"/>
      <c r="Q77" s="68" t="str">
        <f t="shared" ca="1" si="9"/>
        <v/>
      </c>
      <c r="R77" s="6" t="str">
        <f t="shared" si="13"/>
        <v/>
      </c>
      <c r="S77" s="6" t="str">
        <f t="shared" si="14"/>
        <v/>
      </c>
      <c r="T77" s="1" t="str">
        <f t="shared" si="15"/>
        <v/>
      </c>
      <c r="U77" t="str">
        <f t="shared" si="10"/>
        <v/>
      </c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  <c r="IV77"/>
      <c r="IW77"/>
      <c r="IX77"/>
      <c r="IY77"/>
      <c r="IZ77"/>
    </row>
    <row r="78" spans="1:260" ht="16.5" customHeight="1">
      <c r="A78" s="182"/>
      <c r="B78" s="22"/>
      <c r="C78" s="22"/>
      <c r="D78" s="44"/>
      <c r="E78" s="38"/>
      <c r="F78" s="108" t="str">
        <f>IF(E78="","",VLOOKUP(E78,報名總表及收費!$I$29:$L$112,4))</f>
        <v/>
      </c>
      <c r="G78" s="42"/>
      <c r="H78" s="58" t="str">
        <f t="shared" ca="1" si="11"/>
        <v/>
      </c>
      <c r="I78" s="141"/>
      <c r="J78" s="130" t="str">
        <f t="shared" si="12"/>
        <v/>
      </c>
      <c r="K78" s="39"/>
      <c r="L78" s="16"/>
      <c r="M78" s="16"/>
      <c r="N78"/>
      <c r="O78"/>
      <c r="P78"/>
      <c r="Q78" s="68" t="str">
        <f t="shared" ca="1" si="9"/>
        <v/>
      </c>
      <c r="R78" s="6" t="str">
        <f t="shared" si="13"/>
        <v/>
      </c>
      <c r="S78" s="6" t="str">
        <f t="shared" si="14"/>
        <v/>
      </c>
      <c r="T78" s="1" t="str">
        <f t="shared" si="15"/>
        <v/>
      </c>
      <c r="U78" t="str">
        <f t="shared" si="10"/>
        <v/>
      </c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  <c r="IV78"/>
      <c r="IW78"/>
      <c r="IX78"/>
      <c r="IY78"/>
      <c r="IZ78"/>
    </row>
    <row r="79" spans="1:260" ht="16.5" customHeight="1">
      <c r="A79" s="183"/>
      <c r="B79" s="22"/>
      <c r="C79" s="22"/>
      <c r="D79" s="44"/>
      <c r="E79" s="38"/>
      <c r="F79" s="108" t="str">
        <f>IF(E79="","",VLOOKUP(E79,報名總表及收費!$I$29:$L$112,4))</f>
        <v/>
      </c>
      <c r="G79" s="42"/>
      <c r="H79" s="58" t="str">
        <f t="shared" ca="1" si="11"/>
        <v/>
      </c>
      <c r="I79" s="141"/>
      <c r="J79" s="130" t="str">
        <f t="shared" si="12"/>
        <v/>
      </c>
      <c r="K79" s="16"/>
      <c r="L79" s="16"/>
      <c r="M79" s="16"/>
      <c r="N79"/>
      <c r="O79"/>
      <c r="P79"/>
      <c r="Q79" s="68" t="str">
        <f t="shared" ca="1" si="9"/>
        <v/>
      </c>
      <c r="R79" s="6" t="str">
        <f t="shared" si="13"/>
        <v/>
      </c>
      <c r="S79" s="6" t="str">
        <f t="shared" si="14"/>
        <v/>
      </c>
      <c r="T79" s="1" t="str">
        <f t="shared" si="15"/>
        <v/>
      </c>
      <c r="U79" t="str">
        <f t="shared" si="10"/>
        <v/>
      </c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  <c r="IV79"/>
      <c r="IW79"/>
      <c r="IX79"/>
      <c r="IY79"/>
      <c r="IZ79"/>
    </row>
    <row r="80" spans="1:260" ht="16.5" customHeight="1">
      <c r="A80" s="184" t="s">
        <v>70</v>
      </c>
      <c r="B80" s="18"/>
      <c r="C80" s="18"/>
      <c r="D80" s="43"/>
      <c r="E80" s="37"/>
      <c r="F80" s="107" t="str">
        <f>IF(E80="","",VLOOKUP(E80,報名總表及收費!$I$29:$L$112,4))</f>
        <v/>
      </c>
      <c r="G80" s="69"/>
      <c r="H80" s="55" t="str">
        <f t="shared" ca="1" si="11"/>
        <v/>
      </c>
      <c r="I80" s="140"/>
      <c r="J80" s="129" t="str">
        <f t="shared" si="12"/>
        <v/>
      </c>
      <c r="K80" s="16"/>
      <c r="L80" s="16"/>
      <c r="M80" s="16"/>
      <c r="N80"/>
      <c r="O80"/>
      <c r="P80"/>
      <c r="Q80" s="68" t="str">
        <f t="shared" ca="1" si="9"/>
        <v/>
      </c>
      <c r="R80" s="6" t="str">
        <f t="shared" si="13"/>
        <v/>
      </c>
      <c r="S80" s="6" t="str">
        <f t="shared" si="14"/>
        <v/>
      </c>
      <c r="T80" s="1" t="str">
        <f t="shared" si="15"/>
        <v/>
      </c>
      <c r="U80" t="str">
        <f t="shared" si="10"/>
        <v/>
      </c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  <c r="IO80"/>
      <c r="IP80"/>
      <c r="IQ80"/>
      <c r="IR80"/>
      <c r="IS80"/>
      <c r="IT80"/>
      <c r="IU80"/>
      <c r="IV80"/>
      <c r="IW80"/>
      <c r="IX80"/>
      <c r="IY80"/>
      <c r="IZ80"/>
    </row>
    <row r="81" spans="1:260" ht="16.5" customHeight="1">
      <c r="A81" s="185"/>
      <c r="B81" s="18"/>
      <c r="C81" s="18"/>
      <c r="D81" s="43"/>
      <c r="E81" s="37"/>
      <c r="F81" s="107" t="str">
        <f>IF(E81="","",VLOOKUP(E81,報名總表及收費!$I$29:$L$112,4))</f>
        <v/>
      </c>
      <c r="G81" s="41"/>
      <c r="H81" s="55" t="str">
        <f t="shared" ca="1" si="11"/>
        <v/>
      </c>
      <c r="I81" s="140"/>
      <c r="J81" s="129" t="str">
        <f t="shared" si="12"/>
        <v/>
      </c>
      <c r="K81" s="16"/>
      <c r="L81" s="16"/>
      <c r="M81" s="16"/>
      <c r="N81"/>
      <c r="O81"/>
      <c r="P81"/>
      <c r="Q81" s="68" t="str">
        <f t="shared" ca="1" si="9"/>
        <v/>
      </c>
      <c r="R81" s="6" t="str">
        <f t="shared" si="13"/>
        <v/>
      </c>
      <c r="S81" s="6" t="str">
        <f t="shared" si="14"/>
        <v/>
      </c>
      <c r="T81" s="1" t="str">
        <f t="shared" si="15"/>
        <v/>
      </c>
      <c r="U81" t="str">
        <f t="shared" si="10"/>
        <v/>
      </c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  <c r="IU81"/>
      <c r="IV81"/>
      <c r="IW81"/>
      <c r="IX81"/>
      <c r="IY81"/>
      <c r="IZ81"/>
    </row>
    <row r="82" spans="1:260" ht="16.5" customHeight="1">
      <c r="A82" s="185"/>
      <c r="B82" s="18"/>
      <c r="C82" s="18"/>
      <c r="D82" s="43"/>
      <c r="E82" s="37"/>
      <c r="F82" s="107" t="str">
        <f>IF(E82="","",VLOOKUP(E82,報名總表及收費!$I$29:$L$112,4))</f>
        <v/>
      </c>
      <c r="G82" s="41"/>
      <c r="H82" s="55" t="str">
        <f t="shared" ca="1" si="11"/>
        <v/>
      </c>
      <c r="I82" s="140"/>
      <c r="J82" s="129" t="str">
        <f t="shared" si="12"/>
        <v/>
      </c>
      <c r="K82" s="16"/>
      <c r="L82" s="16"/>
      <c r="M82" s="16"/>
      <c r="N82"/>
      <c r="O82"/>
      <c r="P82"/>
      <c r="Q82" s="68" t="str">
        <f t="shared" ca="1" si="9"/>
        <v/>
      </c>
      <c r="R82" s="6" t="str">
        <f t="shared" si="13"/>
        <v/>
      </c>
      <c r="S82" s="6" t="str">
        <f t="shared" si="14"/>
        <v/>
      </c>
      <c r="T82" s="1" t="str">
        <f t="shared" si="15"/>
        <v/>
      </c>
      <c r="U82" t="str">
        <f t="shared" si="10"/>
        <v/>
      </c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  <c r="IO82"/>
      <c r="IP82"/>
      <c r="IQ82"/>
      <c r="IR82"/>
      <c r="IS82"/>
      <c r="IT82"/>
      <c r="IU82"/>
      <c r="IV82"/>
      <c r="IW82"/>
      <c r="IX82"/>
      <c r="IY82"/>
      <c r="IZ82"/>
    </row>
    <row r="83" spans="1:260" ht="16.5" customHeight="1">
      <c r="A83" s="186"/>
      <c r="B83" s="18"/>
      <c r="C83" s="18"/>
      <c r="D83" s="43"/>
      <c r="E83" s="37"/>
      <c r="F83" s="107" t="str">
        <f>IF(E83="","",VLOOKUP(E83,報名總表及收費!$I$29:$L$112,4))</f>
        <v/>
      </c>
      <c r="G83" s="41"/>
      <c r="H83" s="55" t="str">
        <f t="shared" ca="1" si="11"/>
        <v/>
      </c>
      <c r="I83" s="140"/>
      <c r="J83" s="129" t="str">
        <f t="shared" si="12"/>
        <v/>
      </c>
      <c r="K83" s="16"/>
      <c r="L83" s="16"/>
      <c r="M83" s="16"/>
      <c r="N83"/>
      <c r="O83"/>
      <c r="P83"/>
      <c r="Q83" s="68" t="str">
        <f t="shared" ca="1" si="9"/>
        <v/>
      </c>
      <c r="R83" s="6" t="str">
        <f t="shared" si="13"/>
        <v/>
      </c>
      <c r="S83" s="6" t="str">
        <f t="shared" si="14"/>
        <v/>
      </c>
      <c r="T83" s="1" t="str">
        <f t="shared" si="15"/>
        <v/>
      </c>
      <c r="U83" t="str">
        <f t="shared" si="10"/>
        <v/>
      </c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  <c r="IO83"/>
      <c r="IP83"/>
      <c r="IQ83"/>
      <c r="IR83"/>
      <c r="IS83"/>
      <c r="IT83"/>
      <c r="IU83"/>
      <c r="IV83"/>
      <c r="IW83"/>
      <c r="IX83"/>
      <c r="IY83"/>
      <c r="IZ83"/>
    </row>
    <row r="84" spans="1:260" ht="16.5" customHeight="1">
      <c r="A84" s="181" t="s">
        <v>71</v>
      </c>
      <c r="B84" s="22"/>
      <c r="C84" s="22"/>
      <c r="D84" s="44"/>
      <c r="E84" s="38"/>
      <c r="F84" s="108" t="str">
        <f>IF(E84="","",VLOOKUP(E84,報名總表及收費!$I$29:$L$112,4))</f>
        <v/>
      </c>
      <c r="G84" s="42"/>
      <c r="H84" s="58" t="str">
        <f t="shared" ca="1" si="11"/>
        <v/>
      </c>
      <c r="I84" s="141"/>
      <c r="J84" s="130" t="str">
        <f t="shared" si="12"/>
        <v/>
      </c>
      <c r="K84" s="16"/>
      <c r="L84" s="16"/>
      <c r="M84" s="16"/>
      <c r="N84"/>
      <c r="O84"/>
      <c r="P84"/>
      <c r="Q84" s="68" t="str">
        <f t="shared" ca="1" si="9"/>
        <v/>
      </c>
      <c r="R84" s="6" t="str">
        <f t="shared" si="13"/>
        <v/>
      </c>
      <c r="S84" s="6" t="str">
        <f t="shared" si="14"/>
        <v/>
      </c>
      <c r="T84" s="1" t="str">
        <f t="shared" si="15"/>
        <v/>
      </c>
      <c r="U84" t="str">
        <f t="shared" si="10"/>
        <v/>
      </c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  <c r="IO84"/>
      <c r="IP84"/>
      <c r="IQ84"/>
      <c r="IR84"/>
      <c r="IS84"/>
      <c r="IT84"/>
      <c r="IU84"/>
      <c r="IV84"/>
      <c r="IW84"/>
      <c r="IX84"/>
      <c r="IY84"/>
      <c r="IZ84"/>
    </row>
    <row r="85" spans="1:260" ht="16.5" customHeight="1">
      <c r="A85" s="182"/>
      <c r="B85" s="22"/>
      <c r="C85" s="22"/>
      <c r="D85" s="44"/>
      <c r="E85" s="38"/>
      <c r="F85" s="108" t="str">
        <f>IF(E85="","",VLOOKUP(E85,報名總表及收費!$I$29:$L$112,4))</f>
        <v/>
      </c>
      <c r="G85" s="42"/>
      <c r="H85" s="58" t="str">
        <f t="shared" ca="1" si="11"/>
        <v/>
      </c>
      <c r="I85" s="141"/>
      <c r="J85" s="130" t="str">
        <f t="shared" si="12"/>
        <v/>
      </c>
      <c r="K85" s="16"/>
      <c r="L85" s="16"/>
      <c r="M85" s="16"/>
      <c r="N85"/>
      <c r="O85"/>
      <c r="P85"/>
      <c r="Q85" s="68" t="str">
        <f t="shared" ca="1" si="9"/>
        <v/>
      </c>
      <c r="R85" s="6" t="str">
        <f t="shared" si="13"/>
        <v/>
      </c>
      <c r="S85" s="6" t="str">
        <f t="shared" si="14"/>
        <v/>
      </c>
      <c r="T85" s="1" t="str">
        <f t="shared" si="15"/>
        <v/>
      </c>
      <c r="U85" t="str">
        <f t="shared" si="10"/>
        <v/>
      </c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  <c r="IO85"/>
      <c r="IP85"/>
      <c r="IQ85"/>
      <c r="IR85"/>
      <c r="IS85"/>
      <c r="IT85"/>
      <c r="IU85"/>
      <c r="IV85"/>
      <c r="IW85"/>
      <c r="IX85"/>
      <c r="IY85"/>
      <c r="IZ85"/>
    </row>
    <row r="86" spans="1:260" ht="16.5" customHeight="1">
      <c r="A86" s="182"/>
      <c r="B86" s="22"/>
      <c r="C86" s="22"/>
      <c r="D86" s="44"/>
      <c r="E86" s="38"/>
      <c r="F86" s="108" t="str">
        <f>IF(E86="","",VLOOKUP(E86,報名總表及收費!$I$29:$L$112,4))</f>
        <v/>
      </c>
      <c r="G86" s="42"/>
      <c r="H86" s="58" t="str">
        <f t="shared" ca="1" si="11"/>
        <v/>
      </c>
      <c r="I86" s="141"/>
      <c r="J86" s="130" t="str">
        <f t="shared" si="12"/>
        <v/>
      </c>
      <c r="K86" s="16"/>
      <c r="L86" s="16"/>
      <c r="M86" s="16"/>
      <c r="N86"/>
      <c r="O86"/>
      <c r="P86"/>
      <c r="Q86" s="68" t="str">
        <f t="shared" ca="1" si="9"/>
        <v/>
      </c>
      <c r="R86" s="6" t="str">
        <f t="shared" si="13"/>
        <v/>
      </c>
      <c r="S86" s="6" t="str">
        <f t="shared" si="14"/>
        <v/>
      </c>
      <c r="T86" s="1" t="str">
        <f t="shared" si="15"/>
        <v/>
      </c>
      <c r="U86" t="str">
        <f t="shared" si="10"/>
        <v/>
      </c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  <c r="IO86"/>
      <c r="IP86"/>
      <c r="IQ86"/>
      <c r="IR86"/>
      <c r="IS86"/>
      <c r="IT86"/>
      <c r="IU86"/>
      <c r="IV86"/>
      <c r="IW86"/>
      <c r="IX86"/>
      <c r="IY86"/>
      <c r="IZ86"/>
    </row>
    <row r="87" spans="1:260" ht="16.5" customHeight="1">
      <c r="A87" s="183"/>
      <c r="B87" s="22"/>
      <c r="C87" s="22"/>
      <c r="D87" s="44"/>
      <c r="E87" s="38"/>
      <c r="F87" s="108" t="str">
        <f>IF(E87="","",VLOOKUP(E87,報名總表及收費!$I$29:$L$112,4))</f>
        <v/>
      </c>
      <c r="G87" s="42"/>
      <c r="H87" s="58" t="str">
        <f t="shared" ca="1" si="11"/>
        <v/>
      </c>
      <c r="I87" s="141"/>
      <c r="J87" s="130" t="str">
        <f t="shared" si="12"/>
        <v/>
      </c>
      <c r="K87" s="16"/>
      <c r="L87" s="16"/>
      <c r="M87" s="16"/>
      <c r="N87"/>
      <c r="O87"/>
      <c r="P87"/>
      <c r="Q87" s="68" t="str">
        <f t="shared" ca="1" si="9"/>
        <v/>
      </c>
      <c r="R87" s="6" t="str">
        <f t="shared" si="13"/>
        <v/>
      </c>
      <c r="S87" s="6" t="str">
        <f t="shared" si="14"/>
        <v/>
      </c>
      <c r="T87" s="1" t="str">
        <f t="shared" si="15"/>
        <v/>
      </c>
      <c r="U87" t="str">
        <f t="shared" si="10"/>
        <v/>
      </c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  <c r="IO87"/>
      <c r="IP87"/>
      <c r="IQ87"/>
      <c r="IR87"/>
      <c r="IS87"/>
      <c r="IT87"/>
      <c r="IU87"/>
      <c r="IV87"/>
      <c r="IW87"/>
      <c r="IX87"/>
      <c r="IY87"/>
      <c r="IZ87"/>
    </row>
    <row r="88" spans="1:260" ht="16.5" customHeight="1">
      <c r="A88" s="184" t="s">
        <v>72</v>
      </c>
      <c r="B88" s="18"/>
      <c r="C88" s="18"/>
      <c r="D88" s="43"/>
      <c r="E88" s="37"/>
      <c r="F88" s="107" t="str">
        <f>IF(E88="","",VLOOKUP(E88,報名總表及收費!$I$29:$L$112,4))</f>
        <v/>
      </c>
      <c r="G88" s="69"/>
      <c r="H88" s="55" t="str">
        <f t="shared" ca="1" si="11"/>
        <v/>
      </c>
      <c r="I88" s="140"/>
      <c r="J88" s="129" t="str">
        <f t="shared" ref="J88:J119" si="25">IF(E88="","",IF(((VLOOKUP(E88,$L$24:$T$69,5))&lt;G88),"報項時間慢於達標時間",""))&amp;IF(T88="FAIL","    運動員錯組別","")&amp;IF(MOD(E88,2)=0,""," 項目編號為女子組")</f>
        <v/>
      </c>
      <c r="K88" s="16"/>
      <c r="L88" s="16"/>
      <c r="M88" s="16"/>
      <c r="N88"/>
      <c r="O88"/>
      <c r="P88"/>
      <c r="Q88" s="68" t="str">
        <f t="shared" ca="1" si="9"/>
        <v/>
      </c>
      <c r="R88" s="6" t="str">
        <f t="shared" ref="R88:R119" si="26">IF(E88=0,"",IF(MOD(E88,2)=1,"",VLOOKUP(E88,$L$23:$R$63,6,FALSE)))</f>
        <v/>
      </c>
      <c r="S88" s="6" t="str">
        <f t="shared" ref="S88:S119" si="27">IF(D88=0,"",VLOOKUP(E88,$L$23:$R$63,4,FALSE))</f>
        <v/>
      </c>
      <c r="T88" s="1" t="str">
        <f t="shared" ref="T88:T119" si="28">IF(R88="","",IF(S88="A",IF(H88&gt;=R88,"OK","FAIL"),IF(S88="E",IF(H88&lt;=R88,"OK","FAIL"),IF(S88="B",IF(AND(H88&lt;=R88,H88&gt;=U88),"OK","FAIL"),IF(U88="",IF(H88=S88,"OK","FAIL"),IF(U88="9U",IF(H88&lt;=9,"OK","FAIL"),IF(U88="UP",IF(H88&gt;=15,"OK","FAIL"),IF(U88="DN",IF(H88&lt;=7,"OK","FAIL")))))))))</f>
        <v/>
      </c>
      <c r="U88" t="str">
        <f t="shared" si="10"/>
        <v/>
      </c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  <c r="IO88"/>
      <c r="IP88"/>
      <c r="IQ88"/>
      <c r="IR88"/>
      <c r="IS88"/>
      <c r="IT88"/>
      <c r="IU88"/>
      <c r="IV88"/>
      <c r="IW88"/>
      <c r="IX88"/>
      <c r="IY88"/>
      <c r="IZ88"/>
    </row>
    <row r="89" spans="1:260" ht="16.5" customHeight="1">
      <c r="A89" s="185"/>
      <c r="B89" s="18"/>
      <c r="C89" s="18"/>
      <c r="D89" s="43"/>
      <c r="E89" s="37"/>
      <c r="F89" s="107" t="str">
        <f>IF(E89="","",VLOOKUP(E89,報名總表及收費!$I$29:$L$112,4))</f>
        <v/>
      </c>
      <c r="G89" s="41"/>
      <c r="H89" s="55" t="str">
        <f t="shared" ca="1" si="11"/>
        <v/>
      </c>
      <c r="I89" s="140"/>
      <c r="J89" s="129" t="str">
        <f t="shared" si="25"/>
        <v/>
      </c>
      <c r="K89" s="16"/>
      <c r="L89" s="16"/>
      <c r="M89" s="16"/>
      <c r="N89"/>
      <c r="O89"/>
      <c r="P89"/>
      <c r="Q89" s="68" t="str">
        <f t="shared" ref="Q89:Q152" ca="1" si="29">IF(O89="E",YEAR(NOW())-$Q$5,IF(O89="A",YEAR(NOW())-$O$5,IF(O89="B",YEAR(NOW())-$P$5,IF(O89=0,"",O89))))</f>
        <v/>
      </c>
      <c r="R89" s="6" t="str">
        <f t="shared" si="26"/>
        <v/>
      </c>
      <c r="S89" s="6" t="str">
        <f t="shared" si="27"/>
        <v/>
      </c>
      <c r="T89" s="1" t="str">
        <f t="shared" si="28"/>
        <v/>
      </c>
      <c r="U89" t="str">
        <f t="shared" ref="U89:U152" si="30">IF(R89="15U","UP",IF(R89="7D","DN",IF(R89="9U","9U",IF(S89="B",11,""))))</f>
        <v/>
      </c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  <c r="IO89"/>
      <c r="IP89"/>
      <c r="IQ89"/>
      <c r="IR89"/>
      <c r="IS89"/>
      <c r="IT89"/>
      <c r="IU89"/>
      <c r="IV89"/>
      <c r="IW89"/>
      <c r="IX89"/>
      <c r="IY89"/>
      <c r="IZ89"/>
    </row>
    <row r="90" spans="1:260" ht="16.5" customHeight="1">
      <c r="A90" s="185"/>
      <c r="B90" s="18"/>
      <c r="C90" s="18"/>
      <c r="D90" s="43"/>
      <c r="E90" s="37"/>
      <c r="F90" s="107" t="str">
        <f>IF(E90="","",VLOOKUP(E90,報名總表及收費!$I$29:$L$112,4))</f>
        <v/>
      </c>
      <c r="G90" s="41"/>
      <c r="H90" s="55" t="str">
        <f t="shared" ref="H90:H153" ca="1" si="31">IF(D90="","", IF(D90=0,"",YEAR(NOW())-D90))</f>
        <v/>
      </c>
      <c r="I90" s="140"/>
      <c r="J90" s="129" t="str">
        <f t="shared" si="25"/>
        <v/>
      </c>
      <c r="K90" s="16"/>
      <c r="L90" s="16"/>
      <c r="M90" s="16"/>
      <c r="N90"/>
      <c r="O90"/>
      <c r="P90"/>
      <c r="Q90" s="68" t="str">
        <f t="shared" ca="1" si="29"/>
        <v/>
      </c>
      <c r="R90" s="6" t="str">
        <f t="shared" si="26"/>
        <v/>
      </c>
      <c r="S90" s="6" t="str">
        <f t="shared" si="27"/>
        <v/>
      </c>
      <c r="T90" s="1" t="str">
        <f t="shared" si="28"/>
        <v/>
      </c>
      <c r="U90" t="str">
        <f t="shared" si="30"/>
        <v/>
      </c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  <c r="IO90"/>
      <c r="IP90"/>
      <c r="IQ90"/>
      <c r="IR90"/>
      <c r="IS90"/>
      <c r="IT90"/>
      <c r="IU90"/>
      <c r="IV90"/>
      <c r="IW90"/>
      <c r="IX90"/>
      <c r="IY90"/>
      <c r="IZ90"/>
    </row>
    <row r="91" spans="1:260" ht="16.5" customHeight="1">
      <c r="A91" s="186"/>
      <c r="B91" s="18"/>
      <c r="C91" s="18"/>
      <c r="D91" s="43"/>
      <c r="E91" s="37"/>
      <c r="F91" s="107" t="str">
        <f>IF(E91="","",VLOOKUP(E91,報名總表及收費!$I$29:$L$112,4))</f>
        <v/>
      </c>
      <c r="G91" s="41"/>
      <c r="H91" s="55" t="str">
        <f t="shared" ca="1" si="31"/>
        <v/>
      </c>
      <c r="I91" s="140"/>
      <c r="J91" s="129" t="str">
        <f t="shared" si="25"/>
        <v/>
      </c>
      <c r="K91" s="16"/>
      <c r="L91" s="16"/>
      <c r="M91" s="16"/>
      <c r="N91"/>
      <c r="O91"/>
      <c r="P91"/>
      <c r="Q91" s="68" t="str">
        <f t="shared" ca="1" si="29"/>
        <v/>
      </c>
      <c r="R91" s="6" t="str">
        <f t="shared" si="26"/>
        <v/>
      </c>
      <c r="S91" s="6" t="str">
        <f t="shared" si="27"/>
        <v/>
      </c>
      <c r="T91" s="1" t="str">
        <f t="shared" si="28"/>
        <v/>
      </c>
      <c r="U91" t="str">
        <f t="shared" si="30"/>
        <v/>
      </c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  <c r="IO91"/>
      <c r="IP91"/>
      <c r="IQ91"/>
      <c r="IR91"/>
      <c r="IS91"/>
      <c r="IT91"/>
      <c r="IU91"/>
      <c r="IV91"/>
      <c r="IW91"/>
      <c r="IX91"/>
      <c r="IY91"/>
      <c r="IZ91"/>
    </row>
    <row r="92" spans="1:260" ht="16.5" customHeight="1">
      <c r="A92" s="181" t="s">
        <v>73</v>
      </c>
      <c r="B92" s="22"/>
      <c r="C92" s="22"/>
      <c r="D92" s="44"/>
      <c r="E92" s="38"/>
      <c r="F92" s="108" t="str">
        <f>IF(E92="","",VLOOKUP(E92,報名總表及收費!$I$29:$L$112,4))</f>
        <v/>
      </c>
      <c r="G92" s="42"/>
      <c r="H92" s="58" t="str">
        <f t="shared" ca="1" si="31"/>
        <v/>
      </c>
      <c r="I92" s="141"/>
      <c r="J92" s="130" t="str">
        <f t="shared" si="25"/>
        <v/>
      </c>
      <c r="K92" s="16"/>
      <c r="L92" s="16"/>
      <c r="M92" s="16"/>
      <c r="N92"/>
      <c r="O92"/>
      <c r="P92"/>
      <c r="Q92" s="68" t="str">
        <f t="shared" ca="1" si="29"/>
        <v/>
      </c>
      <c r="R92" s="6" t="str">
        <f t="shared" si="26"/>
        <v/>
      </c>
      <c r="S92" s="6" t="str">
        <f t="shared" si="27"/>
        <v/>
      </c>
      <c r="T92" s="1" t="str">
        <f t="shared" si="28"/>
        <v/>
      </c>
      <c r="U92" t="str">
        <f t="shared" si="30"/>
        <v/>
      </c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  <c r="IO92"/>
      <c r="IP92"/>
      <c r="IQ92"/>
      <c r="IR92"/>
      <c r="IS92"/>
      <c r="IT92"/>
      <c r="IU92"/>
      <c r="IV92"/>
      <c r="IW92"/>
      <c r="IX92"/>
      <c r="IY92"/>
      <c r="IZ92"/>
    </row>
    <row r="93" spans="1:260" ht="16.5" customHeight="1">
      <c r="A93" s="182"/>
      <c r="B93" s="22"/>
      <c r="C93" s="22"/>
      <c r="D93" s="44"/>
      <c r="E93" s="38"/>
      <c r="F93" s="108" t="str">
        <f>IF(E93="","",VLOOKUP(E93,報名總表及收費!$I$29:$L$112,4))</f>
        <v/>
      </c>
      <c r="G93" s="42"/>
      <c r="H93" s="58" t="str">
        <f t="shared" ca="1" si="31"/>
        <v/>
      </c>
      <c r="I93" s="141"/>
      <c r="J93" s="130" t="str">
        <f t="shared" si="25"/>
        <v/>
      </c>
      <c r="K93" s="16"/>
      <c r="L93" s="16"/>
      <c r="M93" s="16"/>
      <c r="N93"/>
      <c r="O93"/>
      <c r="P93"/>
      <c r="Q93" s="68" t="str">
        <f t="shared" ca="1" si="29"/>
        <v/>
      </c>
      <c r="R93" s="6" t="str">
        <f t="shared" si="26"/>
        <v/>
      </c>
      <c r="S93" s="6" t="str">
        <f t="shared" si="27"/>
        <v/>
      </c>
      <c r="T93" s="1" t="str">
        <f t="shared" si="28"/>
        <v/>
      </c>
      <c r="U93" t="str">
        <f t="shared" si="30"/>
        <v/>
      </c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  <c r="IO93"/>
      <c r="IP93"/>
      <c r="IQ93"/>
      <c r="IR93"/>
      <c r="IS93"/>
      <c r="IT93"/>
      <c r="IU93"/>
      <c r="IV93"/>
      <c r="IW93"/>
      <c r="IX93"/>
      <c r="IY93"/>
      <c r="IZ93"/>
    </row>
    <row r="94" spans="1:260" ht="16.5" customHeight="1">
      <c r="A94" s="182"/>
      <c r="B94" s="22"/>
      <c r="C94" s="22"/>
      <c r="D94" s="44"/>
      <c r="E94" s="38"/>
      <c r="F94" s="108" t="str">
        <f>IF(E94="","",VLOOKUP(E94,報名總表及收費!$I$29:$L$112,4))</f>
        <v/>
      </c>
      <c r="G94" s="42"/>
      <c r="H94" s="58" t="str">
        <f t="shared" ca="1" si="31"/>
        <v/>
      </c>
      <c r="I94" s="141"/>
      <c r="J94" s="130" t="str">
        <f t="shared" si="25"/>
        <v/>
      </c>
      <c r="K94" s="16"/>
      <c r="L94" s="16"/>
      <c r="M94" s="16"/>
      <c r="N94"/>
      <c r="O94"/>
      <c r="P94"/>
      <c r="Q94" s="68" t="str">
        <f t="shared" ca="1" si="29"/>
        <v/>
      </c>
      <c r="R94" s="6" t="str">
        <f t="shared" si="26"/>
        <v/>
      </c>
      <c r="S94" s="6" t="str">
        <f t="shared" si="27"/>
        <v/>
      </c>
      <c r="T94" s="1" t="str">
        <f t="shared" si="28"/>
        <v/>
      </c>
      <c r="U94" t="str">
        <f t="shared" si="30"/>
        <v/>
      </c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  <c r="IU94"/>
      <c r="IV94"/>
      <c r="IW94"/>
      <c r="IX94"/>
      <c r="IY94"/>
      <c r="IZ94"/>
    </row>
    <row r="95" spans="1:260" ht="16.5" customHeight="1">
      <c r="A95" s="183"/>
      <c r="B95" s="22"/>
      <c r="C95" s="22"/>
      <c r="D95" s="44"/>
      <c r="E95" s="38"/>
      <c r="F95" s="108" t="str">
        <f>IF(E95="","",VLOOKUP(E95,報名總表及收費!$I$29:$L$112,4))</f>
        <v/>
      </c>
      <c r="G95" s="42"/>
      <c r="H95" s="58" t="str">
        <f t="shared" ca="1" si="31"/>
        <v/>
      </c>
      <c r="I95" s="141"/>
      <c r="J95" s="130" t="str">
        <f t="shared" si="25"/>
        <v/>
      </c>
      <c r="K95" s="16"/>
      <c r="L95" s="16"/>
      <c r="M95" s="16"/>
      <c r="N95"/>
      <c r="O95"/>
      <c r="P95"/>
      <c r="Q95" s="68" t="str">
        <f t="shared" ca="1" si="29"/>
        <v/>
      </c>
      <c r="R95" s="6" t="str">
        <f t="shared" si="26"/>
        <v/>
      </c>
      <c r="S95" s="6" t="str">
        <f t="shared" si="27"/>
        <v/>
      </c>
      <c r="T95" s="1" t="str">
        <f t="shared" si="28"/>
        <v/>
      </c>
      <c r="U95" t="str">
        <f t="shared" si="30"/>
        <v/>
      </c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  <c r="IO95"/>
      <c r="IP95"/>
      <c r="IQ95"/>
      <c r="IR95"/>
      <c r="IS95"/>
      <c r="IT95"/>
      <c r="IU95"/>
      <c r="IV95"/>
      <c r="IW95"/>
      <c r="IX95"/>
      <c r="IY95"/>
      <c r="IZ95"/>
    </row>
    <row r="96" spans="1:260" ht="16.5" customHeight="1">
      <c r="A96" s="184" t="s">
        <v>74</v>
      </c>
      <c r="B96" s="18"/>
      <c r="C96" s="18"/>
      <c r="D96" s="43"/>
      <c r="E96" s="37"/>
      <c r="F96" s="107" t="str">
        <f>IF(E96="","",VLOOKUP(E96,報名總表及收費!$I$29:$L$112,4))</f>
        <v/>
      </c>
      <c r="G96" s="41"/>
      <c r="H96" s="55" t="str">
        <f t="shared" ca="1" si="31"/>
        <v/>
      </c>
      <c r="I96" s="140"/>
      <c r="J96" s="129" t="str">
        <f t="shared" si="25"/>
        <v/>
      </c>
      <c r="K96" s="16"/>
      <c r="L96" s="16"/>
      <c r="M96" s="16"/>
      <c r="N96"/>
      <c r="O96"/>
      <c r="P96"/>
      <c r="Q96" s="68" t="str">
        <f t="shared" ca="1" si="29"/>
        <v/>
      </c>
      <c r="R96" s="6" t="str">
        <f t="shared" si="26"/>
        <v/>
      </c>
      <c r="S96" s="6" t="str">
        <f t="shared" si="27"/>
        <v/>
      </c>
      <c r="T96" s="1" t="str">
        <f t="shared" si="28"/>
        <v/>
      </c>
      <c r="U96" t="str">
        <f t="shared" si="30"/>
        <v/>
      </c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  <c r="IO96"/>
      <c r="IP96"/>
      <c r="IQ96"/>
      <c r="IR96"/>
      <c r="IS96"/>
      <c r="IT96"/>
      <c r="IU96"/>
      <c r="IV96"/>
      <c r="IW96"/>
      <c r="IX96"/>
      <c r="IY96"/>
      <c r="IZ96"/>
    </row>
    <row r="97" spans="1:260" ht="16.5" customHeight="1">
      <c r="A97" s="185"/>
      <c r="B97" s="18"/>
      <c r="C97" s="18"/>
      <c r="D97" s="43"/>
      <c r="E97" s="37"/>
      <c r="F97" s="107" t="str">
        <f>IF(E97="","",VLOOKUP(E97,報名總表及收費!$I$29:$L$112,4))</f>
        <v/>
      </c>
      <c r="G97" s="41"/>
      <c r="H97" s="55" t="str">
        <f t="shared" ca="1" si="31"/>
        <v/>
      </c>
      <c r="I97" s="140"/>
      <c r="J97" s="129" t="str">
        <f t="shared" si="25"/>
        <v/>
      </c>
      <c r="K97" s="16"/>
      <c r="L97" s="16"/>
      <c r="M97" s="16"/>
      <c r="N97"/>
      <c r="O97"/>
      <c r="P97"/>
      <c r="Q97" s="68" t="str">
        <f t="shared" ca="1" si="29"/>
        <v/>
      </c>
      <c r="R97" s="6" t="str">
        <f t="shared" si="26"/>
        <v/>
      </c>
      <c r="S97" s="6" t="str">
        <f t="shared" si="27"/>
        <v/>
      </c>
      <c r="T97" s="1" t="str">
        <f t="shared" si="28"/>
        <v/>
      </c>
      <c r="U97" t="str">
        <f t="shared" si="30"/>
        <v/>
      </c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  <c r="IO97"/>
      <c r="IP97"/>
      <c r="IQ97"/>
      <c r="IR97"/>
      <c r="IS97"/>
      <c r="IT97"/>
      <c r="IU97"/>
      <c r="IV97"/>
      <c r="IW97"/>
      <c r="IX97"/>
      <c r="IY97"/>
      <c r="IZ97"/>
    </row>
    <row r="98" spans="1:260" ht="16.5" customHeight="1">
      <c r="A98" s="185"/>
      <c r="B98" s="18"/>
      <c r="C98" s="18"/>
      <c r="D98" s="43"/>
      <c r="E98" s="37"/>
      <c r="F98" s="107" t="str">
        <f>IF(E98="","",VLOOKUP(E98,報名總表及收費!$I$29:$L$112,4))</f>
        <v/>
      </c>
      <c r="G98" s="41"/>
      <c r="H98" s="55" t="str">
        <f t="shared" ca="1" si="31"/>
        <v/>
      </c>
      <c r="I98" s="140"/>
      <c r="J98" s="129" t="str">
        <f t="shared" si="25"/>
        <v/>
      </c>
      <c r="K98" s="16"/>
      <c r="L98" s="16"/>
      <c r="M98" s="16"/>
      <c r="N98"/>
      <c r="O98"/>
      <c r="P98"/>
      <c r="Q98" s="68" t="str">
        <f t="shared" ca="1" si="29"/>
        <v/>
      </c>
      <c r="R98" s="6" t="str">
        <f t="shared" si="26"/>
        <v/>
      </c>
      <c r="S98" s="6" t="str">
        <f t="shared" si="27"/>
        <v/>
      </c>
      <c r="T98" s="1" t="str">
        <f t="shared" si="28"/>
        <v/>
      </c>
      <c r="U98" t="str">
        <f t="shared" si="30"/>
        <v/>
      </c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  <c r="IO98"/>
      <c r="IP98"/>
      <c r="IQ98"/>
      <c r="IR98"/>
      <c r="IS98"/>
      <c r="IT98"/>
      <c r="IU98"/>
      <c r="IV98"/>
      <c r="IW98"/>
      <c r="IX98"/>
      <c r="IY98"/>
      <c r="IZ98"/>
    </row>
    <row r="99" spans="1:260" ht="16.5" customHeight="1">
      <c r="A99" s="186"/>
      <c r="B99" s="18"/>
      <c r="C99" s="18"/>
      <c r="D99" s="43"/>
      <c r="E99" s="37"/>
      <c r="F99" s="107" t="str">
        <f>IF(E99="","",VLOOKUP(E99,報名總表及收費!$I$29:$L$112,4))</f>
        <v/>
      </c>
      <c r="G99" s="41"/>
      <c r="H99" s="55" t="str">
        <f t="shared" ca="1" si="31"/>
        <v/>
      </c>
      <c r="I99" s="140"/>
      <c r="J99" s="129" t="str">
        <f t="shared" si="25"/>
        <v/>
      </c>
      <c r="K99" s="16"/>
      <c r="L99" s="16"/>
      <c r="M99" s="16"/>
      <c r="N99"/>
      <c r="O99"/>
      <c r="P99"/>
      <c r="Q99" s="68" t="str">
        <f t="shared" ca="1" si="29"/>
        <v/>
      </c>
      <c r="R99" s="6" t="str">
        <f t="shared" si="26"/>
        <v/>
      </c>
      <c r="S99" s="6" t="str">
        <f t="shared" si="27"/>
        <v/>
      </c>
      <c r="T99" s="1" t="str">
        <f t="shared" si="28"/>
        <v/>
      </c>
      <c r="U99" t="str">
        <f t="shared" si="30"/>
        <v/>
      </c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</row>
    <row r="100" spans="1:260" ht="16.5" customHeight="1">
      <c r="A100" s="181" t="s">
        <v>75</v>
      </c>
      <c r="B100" s="22"/>
      <c r="C100" s="22"/>
      <c r="D100" s="44"/>
      <c r="E100" s="38"/>
      <c r="F100" s="108" t="str">
        <f>IF(E100="","",VLOOKUP(E100,報名總表及收費!$I$29:$L$112,4))</f>
        <v/>
      </c>
      <c r="G100" s="42"/>
      <c r="H100" s="58" t="str">
        <f t="shared" ca="1" si="31"/>
        <v/>
      </c>
      <c r="I100" s="141"/>
      <c r="J100" s="130" t="str">
        <f t="shared" si="25"/>
        <v/>
      </c>
      <c r="K100" s="16"/>
      <c r="L100" s="16"/>
      <c r="M100" s="16"/>
      <c r="N100"/>
      <c r="O100"/>
      <c r="P100"/>
      <c r="Q100" s="68" t="str">
        <f t="shared" ca="1" si="29"/>
        <v/>
      </c>
      <c r="R100" s="6" t="str">
        <f t="shared" si="26"/>
        <v/>
      </c>
      <c r="S100" s="6" t="str">
        <f t="shared" si="27"/>
        <v/>
      </c>
      <c r="T100" s="1" t="str">
        <f t="shared" si="28"/>
        <v/>
      </c>
      <c r="U100" t="str">
        <f t="shared" si="30"/>
        <v/>
      </c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  <c r="IO100"/>
      <c r="IP100"/>
      <c r="IQ100"/>
      <c r="IR100"/>
      <c r="IS100"/>
      <c r="IT100"/>
      <c r="IU100"/>
      <c r="IV100"/>
      <c r="IW100"/>
      <c r="IX100"/>
      <c r="IY100"/>
      <c r="IZ100"/>
    </row>
    <row r="101" spans="1:260" ht="16.5" customHeight="1">
      <c r="A101" s="182"/>
      <c r="B101" s="22"/>
      <c r="C101" s="22"/>
      <c r="D101" s="44"/>
      <c r="E101" s="38"/>
      <c r="F101" s="108" t="str">
        <f>IF(E101="","",VLOOKUP(E101,報名總表及收費!$I$29:$L$112,4))</f>
        <v/>
      </c>
      <c r="G101" s="42"/>
      <c r="H101" s="58" t="str">
        <f t="shared" ca="1" si="31"/>
        <v/>
      </c>
      <c r="I101" s="141"/>
      <c r="J101" s="130" t="str">
        <f t="shared" si="25"/>
        <v/>
      </c>
      <c r="K101" s="16"/>
      <c r="L101" s="16"/>
      <c r="M101" s="16"/>
      <c r="N101"/>
      <c r="O101"/>
      <c r="P101"/>
      <c r="Q101" s="68" t="str">
        <f t="shared" ca="1" si="29"/>
        <v/>
      </c>
      <c r="R101" s="6" t="str">
        <f t="shared" si="26"/>
        <v/>
      </c>
      <c r="S101" s="6" t="str">
        <f t="shared" si="27"/>
        <v/>
      </c>
      <c r="T101" s="1" t="str">
        <f t="shared" si="28"/>
        <v/>
      </c>
      <c r="U101" t="str">
        <f t="shared" si="30"/>
        <v/>
      </c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  <c r="IN101"/>
      <c r="IO101"/>
      <c r="IP101"/>
      <c r="IQ101"/>
      <c r="IR101"/>
      <c r="IS101"/>
      <c r="IT101"/>
      <c r="IU101"/>
      <c r="IV101"/>
      <c r="IW101"/>
      <c r="IX101"/>
      <c r="IY101"/>
      <c r="IZ101"/>
    </row>
    <row r="102" spans="1:260" ht="16.5" customHeight="1">
      <c r="A102" s="182"/>
      <c r="B102" s="22"/>
      <c r="C102" s="22"/>
      <c r="D102" s="44"/>
      <c r="E102" s="38"/>
      <c r="F102" s="108" t="str">
        <f>IF(E102="","",VLOOKUP(E102,報名總表及收費!$I$29:$L$112,4))</f>
        <v/>
      </c>
      <c r="G102" s="42"/>
      <c r="H102" s="58" t="str">
        <f t="shared" ca="1" si="31"/>
        <v/>
      </c>
      <c r="I102" s="141"/>
      <c r="J102" s="130" t="str">
        <f t="shared" si="25"/>
        <v/>
      </c>
      <c r="K102" s="16"/>
      <c r="L102" s="16"/>
      <c r="M102" s="16"/>
      <c r="O102"/>
      <c r="P102"/>
      <c r="Q102" s="68" t="str">
        <f t="shared" ca="1" si="29"/>
        <v/>
      </c>
      <c r="R102" s="6" t="str">
        <f t="shared" si="26"/>
        <v/>
      </c>
      <c r="S102" s="6" t="str">
        <f t="shared" si="27"/>
        <v/>
      </c>
      <c r="T102" s="1" t="str">
        <f t="shared" si="28"/>
        <v/>
      </c>
      <c r="U102" t="str">
        <f t="shared" si="30"/>
        <v/>
      </c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  <c r="IO102"/>
      <c r="IP102"/>
      <c r="IQ102"/>
      <c r="IR102"/>
      <c r="IS102"/>
      <c r="IT102"/>
      <c r="IU102"/>
      <c r="IV102"/>
      <c r="IW102"/>
      <c r="IX102"/>
      <c r="IY102"/>
      <c r="IZ102"/>
    </row>
    <row r="103" spans="1:260" ht="16.5" customHeight="1">
      <c r="A103" s="183"/>
      <c r="B103" s="22"/>
      <c r="C103" s="22"/>
      <c r="D103" s="44"/>
      <c r="E103" s="38"/>
      <c r="F103" s="108" t="str">
        <f>IF(E103="","",VLOOKUP(E103,報名總表及收費!$I$29:$L$112,4))</f>
        <v/>
      </c>
      <c r="G103" s="42"/>
      <c r="H103" s="58" t="str">
        <f t="shared" ca="1" si="31"/>
        <v/>
      </c>
      <c r="I103" s="141"/>
      <c r="J103" s="130" t="str">
        <f t="shared" si="25"/>
        <v/>
      </c>
      <c r="K103" s="6"/>
      <c r="L103" s="6"/>
      <c r="M103" s="6"/>
      <c r="O103"/>
      <c r="P103"/>
      <c r="Q103" s="68" t="str">
        <f t="shared" ca="1" si="29"/>
        <v/>
      </c>
      <c r="R103" s="6" t="str">
        <f t="shared" si="26"/>
        <v/>
      </c>
      <c r="S103" s="6" t="str">
        <f t="shared" si="27"/>
        <v/>
      </c>
      <c r="T103" s="1" t="str">
        <f t="shared" si="28"/>
        <v/>
      </c>
      <c r="U103" t="str">
        <f t="shared" si="30"/>
        <v/>
      </c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  <c r="IO103"/>
      <c r="IP103"/>
      <c r="IQ103"/>
      <c r="IR103"/>
      <c r="IS103"/>
      <c r="IT103"/>
      <c r="IU103"/>
      <c r="IV103"/>
      <c r="IW103"/>
      <c r="IX103"/>
      <c r="IY103"/>
      <c r="IZ103"/>
    </row>
    <row r="104" spans="1:260" ht="16.5" customHeight="1">
      <c r="A104" s="184" t="s">
        <v>76</v>
      </c>
      <c r="B104" s="18"/>
      <c r="C104" s="18"/>
      <c r="D104" s="43"/>
      <c r="E104" s="37"/>
      <c r="F104" s="107" t="str">
        <f>IF(E104="","",VLOOKUP(E104,報名總表及收費!$I$29:$L$112,4))</f>
        <v/>
      </c>
      <c r="G104" s="41"/>
      <c r="H104" s="55" t="str">
        <f t="shared" ca="1" si="31"/>
        <v/>
      </c>
      <c r="I104" s="140"/>
      <c r="J104" s="129" t="str">
        <f t="shared" si="25"/>
        <v/>
      </c>
      <c r="K104" s="6"/>
      <c r="L104" s="6"/>
      <c r="M104" s="6"/>
      <c r="O104"/>
      <c r="P104"/>
      <c r="Q104" s="68" t="str">
        <f t="shared" ca="1" si="29"/>
        <v/>
      </c>
      <c r="R104" s="6" t="str">
        <f t="shared" si="26"/>
        <v/>
      </c>
      <c r="S104" s="6" t="str">
        <f t="shared" si="27"/>
        <v/>
      </c>
      <c r="T104" s="1" t="str">
        <f t="shared" si="28"/>
        <v/>
      </c>
      <c r="U104" t="str">
        <f t="shared" si="30"/>
        <v/>
      </c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  <c r="IO104"/>
      <c r="IP104"/>
      <c r="IQ104"/>
      <c r="IR104"/>
      <c r="IS104"/>
      <c r="IT104"/>
      <c r="IU104"/>
      <c r="IV104"/>
      <c r="IW104"/>
      <c r="IX104"/>
      <c r="IY104"/>
      <c r="IZ104"/>
    </row>
    <row r="105" spans="1:260" ht="16.5" customHeight="1">
      <c r="A105" s="185"/>
      <c r="B105" s="18"/>
      <c r="C105" s="18"/>
      <c r="D105" s="43"/>
      <c r="E105" s="37"/>
      <c r="F105" s="107" t="str">
        <f>IF(E105="","",VLOOKUP(E105,報名總表及收費!$I$29:$L$112,4))</f>
        <v/>
      </c>
      <c r="G105" s="41"/>
      <c r="H105" s="55" t="str">
        <f t="shared" ca="1" si="31"/>
        <v/>
      </c>
      <c r="I105" s="140"/>
      <c r="J105" s="129" t="str">
        <f t="shared" si="25"/>
        <v/>
      </c>
      <c r="K105" s="6"/>
      <c r="L105" s="6"/>
      <c r="M105" s="6"/>
      <c r="O105"/>
      <c r="P105"/>
      <c r="Q105" s="68" t="str">
        <f t="shared" ca="1" si="29"/>
        <v/>
      </c>
      <c r="R105" s="6" t="str">
        <f t="shared" si="26"/>
        <v/>
      </c>
      <c r="S105" s="6" t="str">
        <f t="shared" si="27"/>
        <v/>
      </c>
      <c r="T105" s="1" t="str">
        <f t="shared" si="28"/>
        <v/>
      </c>
      <c r="U105" t="str">
        <f t="shared" si="30"/>
        <v/>
      </c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  <c r="IO105"/>
      <c r="IP105"/>
      <c r="IQ105"/>
      <c r="IR105"/>
      <c r="IS105"/>
      <c r="IT105"/>
      <c r="IU105"/>
      <c r="IV105"/>
      <c r="IW105"/>
      <c r="IX105"/>
      <c r="IY105"/>
      <c r="IZ105"/>
    </row>
    <row r="106" spans="1:260" ht="16.5" customHeight="1">
      <c r="A106" s="185"/>
      <c r="B106" s="18"/>
      <c r="C106" s="18"/>
      <c r="D106" s="43"/>
      <c r="E106" s="37"/>
      <c r="F106" s="107" t="str">
        <f>IF(E106="","",VLOOKUP(E106,報名總表及收費!$I$29:$L$112,4))</f>
        <v/>
      </c>
      <c r="G106" s="41"/>
      <c r="H106" s="55" t="str">
        <f t="shared" ca="1" si="31"/>
        <v/>
      </c>
      <c r="I106" s="140"/>
      <c r="J106" s="129" t="str">
        <f t="shared" si="25"/>
        <v/>
      </c>
      <c r="K106" s="6"/>
      <c r="L106" s="6"/>
      <c r="M106" s="6"/>
      <c r="O106"/>
      <c r="P106"/>
      <c r="Q106" s="68" t="str">
        <f t="shared" ca="1" si="29"/>
        <v/>
      </c>
      <c r="R106" s="6" t="str">
        <f t="shared" si="26"/>
        <v/>
      </c>
      <c r="S106" s="6" t="str">
        <f t="shared" si="27"/>
        <v/>
      </c>
      <c r="T106" s="1" t="str">
        <f t="shared" si="28"/>
        <v/>
      </c>
      <c r="U106" t="str">
        <f t="shared" si="30"/>
        <v/>
      </c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  <c r="IO106"/>
      <c r="IP106"/>
      <c r="IQ106"/>
      <c r="IR106"/>
      <c r="IS106"/>
      <c r="IT106"/>
      <c r="IU106"/>
      <c r="IV106"/>
      <c r="IW106"/>
      <c r="IX106"/>
      <c r="IY106"/>
      <c r="IZ106"/>
    </row>
    <row r="107" spans="1:260" ht="16.5" customHeight="1">
      <c r="A107" s="186"/>
      <c r="B107" s="18"/>
      <c r="C107" s="18"/>
      <c r="D107" s="43"/>
      <c r="E107" s="37"/>
      <c r="F107" s="107" t="str">
        <f>IF(E107="","",VLOOKUP(E107,報名總表及收費!$I$29:$L$112,4))</f>
        <v/>
      </c>
      <c r="G107" s="41"/>
      <c r="H107" s="55" t="str">
        <f t="shared" ca="1" si="31"/>
        <v/>
      </c>
      <c r="I107" s="140"/>
      <c r="J107" s="129" t="str">
        <f t="shared" si="25"/>
        <v/>
      </c>
      <c r="K107" s="6"/>
      <c r="L107" s="6"/>
      <c r="M107" s="6"/>
      <c r="O107"/>
      <c r="P107"/>
      <c r="Q107" s="68" t="str">
        <f t="shared" ca="1" si="29"/>
        <v/>
      </c>
      <c r="R107" s="6" t="str">
        <f t="shared" si="26"/>
        <v/>
      </c>
      <c r="S107" s="6" t="str">
        <f t="shared" si="27"/>
        <v/>
      </c>
      <c r="T107" s="1" t="str">
        <f t="shared" si="28"/>
        <v/>
      </c>
      <c r="U107" t="str">
        <f t="shared" si="30"/>
        <v/>
      </c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  <c r="IO107"/>
      <c r="IP107"/>
      <c r="IQ107"/>
      <c r="IR107"/>
      <c r="IS107"/>
      <c r="IT107"/>
      <c r="IU107"/>
      <c r="IV107"/>
      <c r="IW107"/>
      <c r="IX107"/>
      <c r="IY107"/>
      <c r="IZ107"/>
    </row>
    <row r="108" spans="1:260" ht="16.5" customHeight="1">
      <c r="A108" s="181" t="s">
        <v>77</v>
      </c>
      <c r="B108" s="22"/>
      <c r="C108" s="22"/>
      <c r="D108" s="44"/>
      <c r="E108" s="38"/>
      <c r="F108" s="108" t="str">
        <f>IF(E108="","",VLOOKUP(E108,報名總表及收費!$I$29:$L$112,4))</f>
        <v/>
      </c>
      <c r="G108" s="42"/>
      <c r="H108" s="58" t="str">
        <f t="shared" ca="1" si="31"/>
        <v/>
      </c>
      <c r="I108" s="141"/>
      <c r="J108" s="130" t="str">
        <f t="shared" si="25"/>
        <v/>
      </c>
      <c r="K108" s="6"/>
      <c r="L108" s="6"/>
      <c r="M108" s="6"/>
      <c r="O108"/>
      <c r="P108"/>
      <c r="Q108" s="68" t="str">
        <f t="shared" ca="1" si="29"/>
        <v/>
      </c>
      <c r="R108" s="6" t="str">
        <f t="shared" si="26"/>
        <v/>
      </c>
      <c r="S108" s="6" t="str">
        <f t="shared" si="27"/>
        <v/>
      </c>
      <c r="T108" s="1" t="str">
        <f t="shared" si="28"/>
        <v/>
      </c>
      <c r="U108" t="str">
        <f t="shared" si="30"/>
        <v/>
      </c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  <c r="IO108"/>
      <c r="IP108"/>
      <c r="IQ108"/>
      <c r="IR108"/>
      <c r="IS108"/>
      <c r="IT108"/>
      <c r="IU108"/>
      <c r="IV108"/>
      <c r="IW108"/>
      <c r="IX108"/>
      <c r="IY108"/>
      <c r="IZ108"/>
    </row>
    <row r="109" spans="1:260" ht="16.5" customHeight="1">
      <c r="A109" s="182"/>
      <c r="B109" s="22"/>
      <c r="C109" s="22"/>
      <c r="D109" s="44"/>
      <c r="E109" s="38"/>
      <c r="F109" s="108" t="str">
        <f>IF(E109="","",VLOOKUP(E109,報名總表及收費!$I$29:$L$112,4))</f>
        <v/>
      </c>
      <c r="G109" s="42"/>
      <c r="H109" s="58" t="str">
        <f t="shared" ca="1" si="31"/>
        <v/>
      </c>
      <c r="I109" s="141"/>
      <c r="J109" s="130" t="str">
        <f t="shared" si="25"/>
        <v/>
      </c>
      <c r="K109" s="6"/>
      <c r="L109" s="6"/>
      <c r="M109" s="6"/>
      <c r="O109"/>
      <c r="P109"/>
      <c r="Q109" s="68" t="str">
        <f t="shared" ca="1" si="29"/>
        <v/>
      </c>
      <c r="R109" s="6" t="str">
        <f t="shared" si="26"/>
        <v/>
      </c>
      <c r="S109" s="6" t="str">
        <f t="shared" si="27"/>
        <v/>
      </c>
      <c r="T109" s="1" t="str">
        <f t="shared" si="28"/>
        <v/>
      </c>
      <c r="U109" t="str">
        <f t="shared" si="30"/>
        <v/>
      </c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  <c r="IO109"/>
      <c r="IP109"/>
      <c r="IQ109"/>
      <c r="IR109"/>
      <c r="IS109"/>
      <c r="IT109"/>
      <c r="IU109"/>
      <c r="IV109"/>
      <c r="IW109"/>
      <c r="IX109"/>
      <c r="IY109"/>
      <c r="IZ109"/>
    </row>
    <row r="110" spans="1:260" ht="16.5" customHeight="1">
      <c r="A110" s="182"/>
      <c r="B110" s="22"/>
      <c r="C110" s="22"/>
      <c r="D110" s="44"/>
      <c r="E110" s="38"/>
      <c r="F110" s="108" t="str">
        <f>IF(E110="","",VLOOKUP(E110,報名總表及收費!$I$29:$L$112,4))</f>
        <v/>
      </c>
      <c r="G110" s="42"/>
      <c r="H110" s="58" t="str">
        <f t="shared" ca="1" si="31"/>
        <v/>
      </c>
      <c r="I110" s="141"/>
      <c r="J110" s="130" t="str">
        <f t="shared" si="25"/>
        <v/>
      </c>
      <c r="K110" s="6"/>
      <c r="L110" s="6"/>
      <c r="M110" s="6"/>
      <c r="O110"/>
      <c r="P110"/>
      <c r="Q110" s="68" t="str">
        <f t="shared" ca="1" si="29"/>
        <v/>
      </c>
      <c r="R110" s="6" t="str">
        <f t="shared" si="26"/>
        <v/>
      </c>
      <c r="S110" s="6" t="str">
        <f t="shared" si="27"/>
        <v/>
      </c>
      <c r="T110" s="1" t="str">
        <f t="shared" si="28"/>
        <v/>
      </c>
      <c r="U110" t="str">
        <f t="shared" si="30"/>
        <v/>
      </c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  <c r="IO110"/>
      <c r="IP110"/>
      <c r="IQ110"/>
      <c r="IR110"/>
      <c r="IS110"/>
      <c r="IT110"/>
      <c r="IU110"/>
      <c r="IV110"/>
      <c r="IW110"/>
      <c r="IX110"/>
      <c r="IY110"/>
      <c r="IZ110"/>
    </row>
    <row r="111" spans="1:260" ht="16.5" customHeight="1">
      <c r="A111" s="183"/>
      <c r="B111" s="22"/>
      <c r="C111" s="22"/>
      <c r="D111" s="44"/>
      <c r="E111" s="38"/>
      <c r="F111" s="108" t="str">
        <f>IF(E111="","",VLOOKUP(E111,報名總表及收費!$I$29:$L$112,4))</f>
        <v/>
      </c>
      <c r="G111" s="42"/>
      <c r="H111" s="58" t="str">
        <f t="shared" ca="1" si="31"/>
        <v/>
      </c>
      <c r="I111" s="141"/>
      <c r="J111" s="130" t="str">
        <f t="shared" si="25"/>
        <v/>
      </c>
      <c r="K111" s="6"/>
      <c r="L111" s="6"/>
      <c r="M111" s="6"/>
      <c r="O111"/>
      <c r="P111"/>
      <c r="Q111" s="68" t="str">
        <f t="shared" ca="1" si="29"/>
        <v/>
      </c>
      <c r="R111" s="6" t="str">
        <f t="shared" si="26"/>
        <v/>
      </c>
      <c r="S111" s="6" t="str">
        <f t="shared" si="27"/>
        <v/>
      </c>
      <c r="T111" s="1" t="str">
        <f t="shared" si="28"/>
        <v/>
      </c>
      <c r="U111" t="str">
        <f t="shared" si="30"/>
        <v/>
      </c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  <c r="IO111"/>
      <c r="IP111"/>
      <c r="IQ111"/>
      <c r="IR111"/>
      <c r="IS111"/>
      <c r="IT111"/>
      <c r="IU111"/>
      <c r="IV111"/>
      <c r="IW111"/>
      <c r="IX111"/>
      <c r="IY111"/>
      <c r="IZ111"/>
    </row>
    <row r="112" spans="1:260" ht="16.5" customHeight="1">
      <c r="A112" s="184" t="s">
        <v>78</v>
      </c>
      <c r="B112" s="18"/>
      <c r="C112" s="18"/>
      <c r="D112" s="43"/>
      <c r="E112" s="37"/>
      <c r="F112" s="107" t="str">
        <f>IF(E112="","",VLOOKUP(E112,報名總表及收費!$I$29:$L$112,4))</f>
        <v/>
      </c>
      <c r="G112" s="41"/>
      <c r="H112" s="55" t="str">
        <f t="shared" ca="1" si="31"/>
        <v/>
      </c>
      <c r="I112" s="140"/>
      <c r="J112" s="129" t="str">
        <f t="shared" si="25"/>
        <v/>
      </c>
      <c r="K112" s="6"/>
      <c r="L112" s="6"/>
      <c r="M112" s="6"/>
      <c r="O112"/>
      <c r="P112"/>
      <c r="Q112" s="68" t="str">
        <f t="shared" ca="1" si="29"/>
        <v/>
      </c>
      <c r="R112" s="6" t="str">
        <f t="shared" si="26"/>
        <v/>
      </c>
      <c r="S112" s="6" t="str">
        <f t="shared" si="27"/>
        <v/>
      </c>
      <c r="T112" s="1" t="str">
        <f t="shared" si="28"/>
        <v/>
      </c>
      <c r="U112" t="str">
        <f t="shared" si="30"/>
        <v/>
      </c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  <c r="IO112"/>
      <c r="IP112"/>
      <c r="IQ112"/>
      <c r="IR112"/>
      <c r="IS112"/>
      <c r="IT112"/>
      <c r="IU112"/>
      <c r="IV112"/>
      <c r="IW112"/>
      <c r="IX112"/>
      <c r="IY112"/>
      <c r="IZ112"/>
    </row>
    <row r="113" spans="1:260" ht="16.5" customHeight="1">
      <c r="A113" s="185"/>
      <c r="B113" s="18"/>
      <c r="C113" s="18"/>
      <c r="D113" s="43"/>
      <c r="E113" s="37"/>
      <c r="F113" s="107" t="str">
        <f>IF(E113="","",VLOOKUP(E113,報名總表及收費!$I$29:$L$112,4))</f>
        <v/>
      </c>
      <c r="G113" s="41"/>
      <c r="H113" s="55" t="str">
        <f t="shared" ca="1" si="31"/>
        <v/>
      </c>
      <c r="I113" s="140"/>
      <c r="J113" s="129" t="str">
        <f t="shared" si="25"/>
        <v/>
      </c>
      <c r="K113" s="6"/>
      <c r="L113" s="6"/>
      <c r="M113" s="6"/>
      <c r="O113"/>
      <c r="P113"/>
      <c r="Q113" s="68" t="str">
        <f t="shared" ca="1" si="29"/>
        <v/>
      </c>
      <c r="R113" s="6" t="str">
        <f t="shared" si="26"/>
        <v/>
      </c>
      <c r="S113" s="6" t="str">
        <f t="shared" si="27"/>
        <v/>
      </c>
      <c r="T113" s="1" t="str">
        <f t="shared" si="28"/>
        <v/>
      </c>
      <c r="U113" t="str">
        <f t="shared" si="30"/>
        <v/>
      </c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  <c r="IN113"/>
      <c r="IO113"/>
      <c r="IP113"/>
      <c r="IQ113"/>
      <c r="IR113"/>
      <c r="IS113"/>
      <c r="IT113"/>
      <c r="IU113"/>
      <c r="IV113"/>
      <c r="IW113"/>
      <c r="IX113"/>
      <c r="IY113"/>
      <c r="IZ113"/>
    </row>
    <row r="114" spans="1:260" ht="16.5" customHeight="1">
      <c r="A114" s="185"/>
      <c r="B114" s="18"/>
      <c r="C114" s="18"/>
      <c r="D114" s="43"/>
      <c r="E114" s="37"/>
      <c r="F114" s="107" t="str">
        <f>IF(E114="","",VLOOKUP(E114,報名總表及收費!$I$29:$L$112,4))</f>
        <v/>
      </c>
      <c r="G114" s="41"/>
      <c r="H114" s="55" t="str">
        <f t="shared" ca="1" si="31"/>
        <v/>
      </c>
      <c r="I114" s="140"/>
      <c r="J114" s="129" t="str">
        <f t="shared" si="25"/>
        <v/>
      </c>
      <c r="K114" s="6"/>
      <c r="L114" s="6"/>
      <c r="M114" s="6"/>
      <c r="O114"/>
      <c r="P114"/>
      <c r="Q114" s="68" t="str">
        <f t="shared" ca="1" si="29"/>
        <v/>
      </c>
      <c r="R114" s="6" t="str">
        <f t="shared" si="26"/>
        <v/>
      </c>
      <c r="S114" s="6" t="str">
        <f t="shared" si="27"/>
        <v/>
      </c>
      <c r="T114" s="1" t="str">
        <f t="shared" si="28"/>
        <v/>
      </c>
      <c r="U114" t="str">
        <f t="shared" si="30"/>
        <v/>
      </c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  <c r="IO114"/>
      <c r="IP114"/>
      <c r="IQ114"/>
      <c r="IR114"/>
      <c r="IS114"/>
      <c r="IT114"/>
      <c r="IU114"/>
      <c r="IV114"/>
      <c r="IW114"/>
      <c r="IX114"/>
      <c r="IY114"/>
      <c r="IZ114"/>
    </row>
    <row r="115" spans="1:260" ht="16.5" customHeight="1">
      <c r="A115" s="186"/>
      <c r="B115" s="18"/>
      <c r="C115" s="18"/>
      <c r="D115" s="43"/>
      <c r="E115" s="37"/>
      <c r="F115" s="107" t="str">
        <f>IF(E115="","",VLOOKUP(E115,報名總表及收費!$I$29:$L$112,4))</f>
        <v/>
      </c>
      <c r="G115" s="41"/>
      <c r="H115" s="55" t="str">
        <f t="shared" ca="1" si="31"/>
        <v/>
      </c>
      <c r="I115" s="140"/>
      <c r="J115" s="129" t="str">
        <f t="shared" si="25"/>
        <v/>
      </c>
      <c r="K115" s="6"/>
      <c r="L115" s="6"/>
      <c r="M115" s="6"/>
      <c r="O115"/>
      <c r="P115"/>
      <c r="Q115" s="68" t="str">
        <f t="shared" ca="1" si="29"/>
        <v/>
      </c>
      <c r="R115" s="6" t="str">
        <f t="shared" si="26"/>
        <v/>
      </c>
      <c r="S115" s="6" t="str">
        <f t="shared" si="27"/>
        <v/>
      </c>
      <c r="T115" s="1" t="str">
        <f t="shared" si="28"/>
        <v/>
      </c>
      <c r="U115" t="str">
        <f t="shared" si="30"/>
        <v/>
      </c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  <c r="IO115"/>
      <c r="IP115"/>
      <c r="IQ115"/>
      <c r="IR115"/>
      <c r="IS115"/>
      <c r="IT115"/>
      <c r="IU115"/>
      <c r="IV115"/>
      <c r="IW115"/>
      <c r="IX115"/>
      <c r="IY115"/>
      <c r="IZ115"/>
    </row>
    <row r="116" spans="1:260" ht="16.5" customHeight="1">
      <c r="A116" s="181" t="s">
        <v>79</v>
      </c>
      <c r="B116" s="22"/>
      <c r="C116" s="22"/>
      <c r="D116" s="44"/>
      <c r="E116" s="38"/>
      <c r="F116" s="108" t="str">
        <f>IF(E116="","",VLOOKUP(E116,報名總表及收費!$I$29:$L$112,4))</f>
        <v/>
      </c>
      <c r="G116" s="42"/>
      <c r="H116" s="58" t="str">
        <f t="shared" ca="1" si="31"/>
        <v/>
      </c>
      <c r="I116" s="141"/>
      <c r="J116" s="130" t="str">
        <f t="shared" si="25"/>
        <v/>
      </c>
      <c r="K116" s="6"/>
      <c r="L116" s="6"/>
      <c r="M116" s="6"/>
      <c r="O116"/>
      <c r="P116"/>
      <c r="Q116" s="68" t="str">
        <f t="shared" ca="1" si="29"/>
        <v/>
      </c>
      <c r="R116" s="6" t="str">
        <f t="shared" si="26"/>
        <v/>
      </c>
      <c r="S116" s="6" t="str">
        <f t="shared" si="27"/>
        <v/>
      </c>
      <c r="T116" s="1" t="str">
        <f t="shared" si="28"/>
        <v/>
      </c>
      <c r="U116" t="str">
        <f t="shared" si="30"/>
        <v/>
      </c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  <c r="IN116"/>
      <c r="IO116"/>
      <c r="IP116"/>
      <c r="IQ116"/>
      <c r="IR116"/>
      <c r="IS116"/>
      <c r="IT116"/>
      <c r="IU116"/>
      <c r="IV116"/>
      <c r="IW116"/>
      <c r="IX116"/>
      <c r="IY116"/>
      <c r="IZ116"/>
    </row>
    <row r="117" spans="1:260" ht="16.5" customHeight="1">
      <c r="A117" s="182"/>
      <c r="B117" s="22"/>
      <c r="C117" s="22"/>
      <c r="D117" s="44"/>
      <c r="E117" s="38"/>
      <c r="F117" s="108" t="str">
        <f>IF(E117="","",VLOOKUP(E117,報名總表及收費!$I$29:$L$112,4))</f>
        <v/>
      </c>
      <c r="G117" s="42"/>
      <c r="H117" s="58" t="str">
        <f t="shared" ca="1" si="31"/>
        <v/>
      </c>
      <c r="I117" s="141"/>
      <c r="J117" s="130" t="str">
        <f t="shared" si="25"/>
        <v/>
      </c>
      <c r="K117" s="6"/>
      <c r="L117" s="6"/>
      <c r="M117" s="6"/>
      <c r="O117"/>
      <c r="P117"/>
      <c r="Q117" s="68" t="str">
        <f t="shared" ca="1" si="29"/>
        <v/>
      </c>
      <c r="R117" s="6" t="str">
        <f t="shared" si="26"/>
        <v/>
      </c>
      <c r="S117" s="6" t="str">
        <f t="shared" si="27"/>
        <v/>
      </c>
      <c r="T117" s="1" t="str">
        <f t="shared" si="28"/>
        <v/>
      </c>
      <c r="U117" t="str">
        <f t="shared" si="30"/>
        <v/>
      </c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  <c r="IN117"/>
      <c r="IO117"/>
      <c r="IP117"/>
      <c r="IQ117"/>
      <c r="IR117"/>
      <c r="IS117"/>
      <c r="IT117"/>
      <c r="IU117"/>
      <c r="IV117"/>
      <c r="IW117"/>
      <c r="IX117"/>
      <c r="IY117"/>
      <c r="IZ117"/>
    </row>
    <row r="118" spans="1:260" ht="16.5" customHeight="1">
      <c r="A118" s="182"/>
      <c r="B118" s="22"/>
      <c r="C118" s="22"/>
      <c r="D118" s="44"/>
      <c r="E118" s="38"/>
      <c r="F118" s="108" t="str">
        <f>IF(E118="","",VLOOKUP(E118,報名總表及收費!$I$29:$L$112,4))</f>
        <v/>
      </c>
      <c r="G118" s="42"/>
      <c r="H118" s="58" t="str">
        <f t="shared" ca="1" si="31"/>
        <v/>
      </c>
      <c r="I118" s="141"/>
      <c r="J118" s="130" t="str">
        <f t="shared" si="25"/>
        <v/>
      </c>
      <c r="K118" s="6"/>
      <c r="L118" s="6"/>
      <c r="M118" s="6"/>
      <c r="Q118" s="68" t="str">
        <f t="shared" ca="1" si="29"/>
        <v/>
      </c>
      <c r="R118" s="6" t="str">
        <f t="shared" si="26"/>
        <v/>
      </c>
      <c r="S118" s="6" t="str">
        <f t="shared" si="27"/>
        <v/>
      </c>
      <c r="T118" s="1" t="str">
        <f t="shared" si="28"/>
        <v/>
      </c>
      <c r="U118" t="str">
        <f t="shared" si="30"/>
        <v/>
      </c>
      <c r="V118"/>
    </row>
    <row r="119" spans="1:260" ht="16.5" customHeight="1">
      <c r="A119" s="183"/>
      <c r="B119" s="22"/>
      <c r="C119" s="22"/>
      <c r="D119" s="44"/>
      <c r="E119" s="38"/>
      <c r="F119" s="108" t="str">
        <f>IF(E119="","",VLOOKUP(E119,報名總表及收費!$I$29:$L$112,4))</f>
        <v/>
      </c>
      <c r="G119" s="42"/>
      <c r="H119" s="58" t="str">
        <f t="shared" ca="1" si="31"/>
        <v/>
      </c>
      <c r="I119" s="141"/>
      <c r="J119" s="130" t="str">
        <f t="shared" si="25"/>
        <v/>
      </c>
      <c r="K119" s="6"/>
      <c r="L119" s="6"/>
      <c r="M119" s="6"/>
      <c r="Q119" s="68" t="str">
        <f t="shared" ca="1" si="29"/>
        <v/>
      </c>
      <c r="R119" s="6" t="str">
        <f t="shared" si="26"/>
        <v/>
      </c>
      <c r="S119" s="6" t="str">
        <f t="shared" si="27"/>
        <v/>
      </c>
      <c r="T119" s="1" t="str">
        <f t="shared" si="28"/>
        <v/>
      </c>
      <c r="U119" t="str">
        <f t="shared" si="30"/>
        <v/>
      </c>
      <c r="V119"/>
    </row>
    <row r="120" spans="1:260" ht="16.5" customHeight="1">
      <c r="A120" s="184" t="s">
        <v>80</v>
      </c>
      <c r="B120" s="18"/>
      <c r="C120" s="18"/>
      <c r="D120" s="43"/>
      <c r="E120" s="37"/>
      <c r="F120" s="107" t="str">
        <f>IF(E120="","",VLOOKUP(E120,報名總表及收費!$I$29:$L$112,4))</f>
        <v/>
      </c>
      <c r="G120" s="41"/>
      <c r="H120" s="55" t="str">
        <f t="shared" ca="1" si="31"/>
        <v/>
      </c>
      <c r="I120" s="140"/>
      <c r="J120" s="129" t="str">
        <f t="shared" ref="J120:J151" si="32">IF(E120="","",IF(((VLOOKUP(E120,$L$24:$T$69,5))&lt;G120),"報項時間慢於達標時間",""))&amp;IF(T120="FAIL","    運動員錯組別","")&amp;IF(MOD(E120,2)=0,""," 項目編號為女子組")</f>
        <v/>
      </c>
      <c r="K120" s="6"/>
      <c r="L120" s="6"/>
      <c r="M120" s="6"/>
      <c r="Q120" s="68" t="str">
        <f t="shared" ca="1" si="29"/>
        <v/>
      </c>
      <c r="R120" s="6" t="str">
        <f t="shared" ref="R120:R151" si="33">IF(E120=0,"",IF(MOD(E120,2)=1,"",VLOOKUP(E120,$L$23:$R$63,6,FALSE)))</f>
        <v/>
      </c>
      <c r="S120" s="6" t="str">
        <f t="shared" ref="S120:S151" si="34">IF(D120=0,"",VLOOKUP(E120,$L$23:$R$63,4,FALSE))</f>
        <v/>
      </c>
      <c r="T120" s="1" t="str">
        <f t="shared" ref="T120:T151" si="35">IF(R120="","",IF(S120="A",IF(H120&gt;=R120,"OK","FAIL"),IF(S120="E",IF(H120&lt;=R120,"OK","FAIL"),IF(S120="B",IF(AND(H120&lt;=R120,H120&gt;=U120),"OK","FAIL"),IF(U120="",IF(H120=S120,"OK","FAIL"),IF(U120="9U",IF(H120&lt;=9,"OK","FAIL"),IF(U120="UP",IF(H120&gt;=15,"OK","FAIL"),IF(U120="DN",IF(H120&lt;=7,"OK","FAIL")))))))))</f>
        <v/>
      </c>
      <c r="U120" t="str">
        <f t="shared" si="30"/>
        <v/>
      </c>
      <c r="V120"/>
    </row>
    <row r="121" spans="1:260" ht="16.5" customHeight="1">
      <c r="A121" s="185"/>
      <c r="B121" s="18"/>
      <c r="C121" s="18"/>
      <c r="D121" s="43"/>
      <c r="E121" s="37"/>
      <c r="F121" s="107" t="str">
        <f>IF(E121="","",VLOOKUP(E121,報名總表及收費!$I$29:$L$112,4))</f>
        <v/>
      </c>
      <c r="G121" s="41"/>
      <c r="H121" s="55" t="str">
        <f t="shared" ca="1" si="31"/>
        <v/>
      </c>
      <c r="I121" s="140"/>
      <c r="J121" s="129" t="str">
        <f t="shared" si="32"/>
        <v/>
      </c>
      <c r="K121" s="6"/>
      <c r="L121" s="6"/>
      <c r="M121" s="6"/>
      <c r="Q121" s="68" t="str">
        <f t="shared" ca="1" si="29"/>
        <v/>
      </c>
      <c r="R121" s="6" t="str">
        <f t="shared" si="33"/>
        <v/>
      </c>
      <c r="S121" s="6" t="str">
        <f t="shared" si="34"/>
        <v/>
      </c>
      <c r="T121" s="1" t="str">
        <f t="shared" si="35"/>
        <v/>
      </c>
      <c r="U121" t="str">
        <f t="shared" si="30"/>
        <v/>
      </c>
      <c r="V121"/>
    </row>
    <row r="122" spans="1:260" ht="16.5" customHeight="1">
      <c r="A122" s="185"/>
      <c r="B122" s="18"/>
      <c r="C122" s="18"/>
      <c r="D122" s="43"/>
      <c r="E122" s="37"/>
      <c r="F122" s="107" t="str">
        <f>IF(E122="","",VLOOKUP(E122,報名總表及收費!$I$29:$L$112,4))</f>
        <v/>
      </c>
      <c r="G122" s="41"/>
      <c r="H122" s="55" t="str">
        <f t="shared" ca="1" si="31"/>
        <v/>
      </c>
      <c r="I122" s="140"/>
      <c r="J122" s="129" t="str">
        <f t="shared" si="32"/>
        <v/>
      </c>
      <c r="K122" s="6"/>
      <c r="L122" s="6"/>
      <c r="M122" s="6"/>
      <c r="Q122" s="68" t="str">
        <f t="shared" ca="1" si="29"/>
        <v/>
      </c>
      <c r="R122" s="6" t="str">
        <f t="shared" si="33"/>
        <v/>
      </c>
      <c r="S122" s="6" t="str">
        <f t="shared" si="34"/>
        <v/>
      </c>
      <c r="T122" s="1" t="str">
        <f t="shared" si="35"/>
        <v/>
      </c>
      <c r="U122" t="str">
        <f t="shared" si="30"/>
        <v/>
      </c>
      <c r="V122"/>
    </row>
    <row r="123" spans="1:260" ht="16.5" customHeight="1">
      <c r="A123" s="186"/>
      <c r="B123" s="18"/>
      <c r="C123" s="18"/>
      <c r="D123" s="43"/>
      <c r="E123" s="37"/>
      <c r="F123" s="107" t="str">
        <f>IF(E123="","",VLOOKUP(E123,報名總表及收費!$I$29:$L$112,4))</f>
        <v/>
      </c>
      <c r="G123" s="41"/>
      <c r="H123" s="55" t="str">
        <f t="shared" ca="1" si="31"/>
        <v/>
      </c>
      <c r="I123" s="138"/>
      <c r="J123" s="129" t="str">
        <f t="shared" si="32"/>
        <v/>
      </c>
      <c r="K123" s="6"/>
      <c r="L123" s="6"/>
      <c r="M123" s="6"/>
      <c r="Q123" s="68" t="str">
        <f t="shared" ca="1" si="29"/>
        <v/>
      </c>
      <c r="R123" s="6" t="str">
        <f t="shared" si="33"/>
        <v/>
      </c>
      <c r="S123" s="6" t="str">
        <f t="shared" si="34"/>
        <v/>
      </c>
      <c r="T123" s="1" t="str">
        <f t="shared" si="35"/>
        <v/>
      </c>
      <c r="U123" t="str">
        <f t="shared" si="30"/>
        <v/>
      </c>
      <c r="V123"/>
    </row>
    <row r="124" spans="1:260" ht="16.5" customHeight="1">
      <c r="A124" s="181" t="s">
        <v>81</v>
      </c>
      <c r="B124" s="22"/>
      <c r="C124" s="22"/>
      <c r="D124" s="44"/>
      <c r="E124" s="38"/>
      <c r="F124" s="108" t="str">
        <f>IF(E124="","",VLOOKUP(E124,報名總表及收費!$I$29:$L$112,4))</f>
        <v/>
      </c>
      <c r="G124" s="42"/>
      <c r="H124" s="58" t="str">
        <f t="shared" ca="1" si="31"/>
        <v/>
      </c>
      <c r="I124" s="141"/>
      <c r="J124" s="130" t="str">
        <f t="shared" si="32"/>
        <v/>
      </c>
      <c r="K124" s="6"/>
      <c r="L124" s="6"/>
      <c r="M124" s="6"/>
      <c r="Q124" s="68" t="str">
        <f t="shared" ca="1" si="29"/>
        <v/>
      </c>
      <c r="R124" s="6" t="str">
        <f t="shared" si="33"/>
        <v/>
      </c>
      <c r="S124" s="6" t="str">
        <f t="shared" si="34"/>
        <v/>
      </c>
      <c r="T124" s="1" t="str">
        <f t="shared" si="35"/>
        <v/>
      </c>
      <c r="U124" t="str">
        <f t="shared" si="30"/>
        <v/>
      </c>
      <c r="V124"/>
    </row>
    <row r="125" spans="1:260" ht="16.5" customHeight="1">
      <c r="A125" s="182"/>
      <c r="B125" s="22"/>
      <c r="C125" s="22"/>
      <c r="D125" s="44"/>
      <c r="E125" s="38"/>
      <c r="F125" s="108" t="str">
        <f>IF(E125="","",VLOOKUP(E125,報名總表及收費!$I$29:$L$112,4))</f>
        <v/>
      </c>
      <c r="G125" s="42"/>
      <c r="H125" s="58" t="str">
        <f t="shared" ca="1" si="31"/>
        <v/>
      </c>
      <c r="I125" s="141"/>
      <c r="J125" s="130" t="str">
        <f t="shared" si="32"/>
        <v/>
      </c>
      <c r="K125" s="6"/>
      <c r="L125" s="6"/>
      <c r="M125" s="6"/>
      <c r="Q125" s="68" t="str">
        <f t="shared" ca="1" si="29"/>
        <v/>
      </c>
      <c r="R125" s="6" t="str">
        <f t="shared" si="33"/>
        <v/>
      </c>
      <c r="S125" s="6" t="str">
        <f t="shared" si="34"/>
        <v/>
      </c>
      <c r="T125" s="1" t="str">
        <f t="shared" si="35"/>
        <v/>
      </c>
      <c r="U125" t="str">
        <f t="shared" si="30"/>
        <v/>
      </c>
      <c r="V125"/>
    </row>
    <row r="126" spans="1:260" ht="16.5" customHeight="1">
      <c r="A126" s="182"/>
      <c r="B126" s="22"/>
      <c r="C126" s="22"/>
      <c r="D126" s="44"/>
      <c r="E126" s="38"/>
      <c r="F126" s="108" t="str">
        <f>IF(E126="","",VLOOKUP(E126,報名總表及收費!$I$29:$L$112,4))</f>
        <v/>
      </c>
      <c r="G126" s="42"/>
      <c r="H126" s="58" t="str">
        <f t="shared" ca="1" si="31"/>
        <v/>
      </c>
      <c r="I126" s="141"/>
      <c r="J126" s="130" t="str">
        <f t="shared" si="32"/>
        <v/>
      </c>
      <c r="K126" s="6"/>
      <c r="L126" s="6"/>
      <c r="M126" s="6"/>
      <c r="Q126" s="68" t="str">
        <f t="shared" ca="1" si="29"/>
        <v/>
      </c>
      <c r="R126" s="6" t="str">
        <f t="shared" si="33"/>
        <v/>
      </c>
      <c r="S126" s="6" t="str">
        <f t="shared" si="34"/>
        <v/>
      </c>
      <c r="T126" s="1" t="str">
        <f t="shared" si="35"/>
        <v/>
      </c>
      <c r="U126" t="str">
        <f t="shared" si="30"/>
        <v/>
      </c>
      <c r="V126"/>
    </row>
    <row r="127" spans="1:260" ht="16.5" customHeight="1">
      <c r="A127" s="183"/>
      <c r="B127" s="22"/>
      <c r="C127" s="22"/>
      <c r="D127" s="44"/>
      <c r="E127" s="38"/>
      <c r="F127" s="108" t="str">
        <f>IF(E127="","",VLOOKUP(E127,報名總表及收費!$I$29:$L$112,4))</f>
        <v/>
      </c>
      <c r="G127" s="42"/>
      <c r="H127" s="58" t="str">
        <f t="shared" ca="1" si="31"/>
        <v/>
      </c>
      <c r="I127" s="141"/>
      <c r="J127" s="130" t="str">
        <f t="shared" si="32"/>
        <v/>
      </c>
      <c r="K127" s="6"/>
      <c r="L127" s="6"/>
      <c r="M127" s="6"/>
      <c r="Q127" s="68" t="str">
        <f t="shared" ca="1" si="29"/>
        <v/>
      </c>
      <c r="R127" s="6" t="str">
        <f t="shared" si="33"/>
        <v/>
      </c>
      <c r="S127" s="6" t="str">
        <f t="shared" si="34"/>
        <v/>
      </c>
      <c r="T127" s="1" t="str">
        <f t="shared" si="35"/>
        <v/>
      </c>
      <c r="U127" t="str">
        <f t="shared" si="30"/>
        <v/>
      </c>
      <c r="V127"/>
    </row>
    <row r="128" spans="1:260" ht="16.5" customHeight="1">
      <c r="A128" s="184" t="s">
        <v>97</v>
      </c>
      <c r="B128" s="18"/>
      <c r="C128" s="18"/>
      <c r="D128" s="43"/>
      <c r="E128" s="37"/>
      <c r="F128" s="107" t="str">
        <f>IF(E128="","",VLOOKUP(E128,報名總表及收費!$I$29:$L$112,4))</f>
        <v/>
      </c>
      <c r="G128" s="41"/>
      <c r="H128" s="55" t="str">
        <f t="shared" ca="1" si="31"/>
        <v/>
      </c>
      <c r="I128" s="140"/>
      <c r="J128" s="129" t="str">
        <f t="shared" si="32"/>
        <v/>
      </c>
      <c r="K128" s="6"/>
      <c r="L128" s="6"/>
      <c r="M128" s="6"/>
      <c r="Q128" s="68" t="str">
        <f t="shared" ca="1" si="29"/>
        <v/>
      </c>
      <c r="R128" s="6" t="str">
        <f t="shared" si="33"/>
        <v/>
      </c>
      <c r="S128" s="6" t="str">
        <f t="shared" si="34"/>
        <v/>
      </c>
      <c r="T128" s="1" t="str">
        <f t="shared" si="35"/>
        <v/>
      </c>
      <c r="U128" t="str">
        <f t="shared" si="30"/>
        <v/>
      </c>
      <c r="V128"/>
      <c r="IY128"/>
      <c r="IZ128"/>
    </row>
    <row r="129" spans="1:260" ht="16.5" customHeight="1">
      <c r="A129" s="185"/>
      <c r="B129" s="18"/>
      <c r="C129" s="18"/>
      <c r="D129" s="43"/>
      <c r="E129" s="37"/>
      <c r="F129" s="107" t="str">
        <f>IF(E129="","",VLOOKUP(E129,報名總表及收費!$I$29:$L$112,4))</f>
        <v/>
      </c>
      <c r="G129" s="41"/>
      <c r="H129" s="55" t="str">
        <f t="shared" ca="1" si="31"/>
        <v/>
      </c>
      <c r="I129" s="140"/>
      <c r="J129" s="129" t="str">
        <f t="shared" si="32"/>
        <v/>
      </c>
      <c r="K129" s="6"/>
      <c r="Q129" s="68" t="str">
        <f t="shared" ca="1" si="29"/>
        <v/>
      </c>
      <c r="R129" s="6" t="str">
        <f t="shared" si="33"/>
        <v/>
      </c>
      <c r="S129" s="6" t="str">
        <f t="shared" si="34"/>
        <v/>
      </c>
      <c r="T129" s="1" t="str">
        <f t="shared" si="35"/>
        <v/>
      </c>
      <c r="U129" t="str">
        <f t="shared" si="30"/>
        <v/>
      </c>
      <c r="V129"/>
      <c r="IY129"/>
      <c r="IZ129"/>
    </row>
    <row r="130" spans="1:260" ht="16.5" customHeight="1">
      <c r="A130" s="185"/>
      <c r="B130" s="18"/>
      <c r="C130" s="18"/>
      <c r="D130" s="43"/>
      <c r="E130" s="37"/>
      <c r="F130" s="107" t="str">
        <f>IF(E130="","",VLOOKUP(E130,報名總表及收費!$I$29:$L$112,4))</f>
        <v/>
      </c>
      <c r="G130" s="41"/>
      <c r="H130" s="55" t="str">
        <f t="shared" ca="1" si="31"/>
        <v/>
      </c>
      <c r="I130" s="140"/>
      <c r="J130" s="129" t="str">
        <f t="shared" si="32"/>
        <v/>
      </c>
      <c r="K130" s="6"/>
      <c r="Q130" s="68" t="str">
        <f t="shared" ca="1" si="29"/>
        <v/>
      </c>
      <c r="R130" s="6" t="str">
        <f t="shared" si="33"/>
        <v/>
      </c>
      <c r="S130" s="6" t="str">
        <f t="shared" si="34"/>
        <v/>
      </c>
      <c r="T130" s="1" t="str">
        <f t="shared" si="35"/>
        <v/>
      </c>
      <c r="U130" t="str">
        <f t="shared" si="30"/>
        <v/>
      </c>
      <c r="V130"/>
      <c r="IY130"/>
      <c r="IZ130"/>
    </row>
    <row r="131" spans="1:260" ht="16.5" customHeight="1">
      <c r="A131" s="186"/>
      <c r="B131" s="18"/>
      <c r="C131" s="18"/>
      <c r="D131" s="43"/>
      <c r="E131" s="37"/>
      <c r="F131" s="107" t="str">
        <f>IF(E131="","",VLOOKUP(E131,報名總表及收費!$I$29:$L$112,4))</f>
        <v/>
      </c>
      <c r="G131" s="41"/>
      <c r="H131" s="55" t="str">
        <f t="shared" ca="1" si="31"/>
        <v/>
      </c>
      <c r="I131" s="140"/>
      <c r="J131" s="129" t="str">
        <f t="shared" si="32"/>
        <v/>
      </c>
      <c r="K131" s="6"/>
      <c r="Q131" s="68" t="str">
        <f t="shared" ca="1" si="29"/>
        <v/>
      </c>
      <c r="R131" s="6" t="str">
        <f t="shared" si="33"/>
        <v/>
      </c>
      <c r="S131" s="6" t="str">
        <f t="shared" si="34"/>
        <v/>
      </c>
      <c r="T131" s="1" t="str">
        <f t="shared" si="35"/>
        <v/>
      </c>
      <c r="U131" t="str">
        <f t="shared" si="30"/>
        <v/>
      </c>
      <c r="V131"/>
      <c r="IY131"/>
      <c r="IZ131"/>
    </row>
    <row r="132" spans="1:260" ht="16.5" customHeight="1">
      <c r="A132" s="181" t="s">
        <v>98</v>
      </c>
      <c r="B132" s="22"/>
      <c r="C132" s="22"/>
      <c r="D132" s="44"/>
      <c r="E132" s="38"/>
      <c r="F132" s="108" t="str">
        <f>IF(E132="","",VLOOKUP(E132,報名總表及收費!$I$29:$L$112,4))</f>
        <v/>
      </c>
      <c r="G132" s="42"/>
      <c r="H132" s="58" t="str">
        <f t="shared" ca="1" si="31"/>
        <v/>
      </c>
      <c r="I132" s="141"/>
      <c r="J132" s="130" t="str">
        <f t="shared" si="32"/>
        <v/>
      </c>
      <c r="K132" s="6"/>
      <c r="Q132" s="68" t="str">
        <f t="shared" ca="1" si="29"/>
        <v/>
      </c>
      <c r="R132" s="6" t="str">
        <f t="shared" si="33"/>
        <v/>
      </c>
      <c r="S132" s="6" t="str">
        <f t="shared" si="34"/>
        <v/>
      </c>
      <c r="T132" s="1" t="str">
        <f t="shared" si="35"/>
        <v/>
      </c>
      <c r="U132" t="str">
        <f t="shared" si="30"/>
        <v/>
      </c>
      <c r="V132"/>
      <c r="IY132"/>
      <c r="IZ132"/>
    </row>
    <row r="133" spans="1:260" ht="16.5" customHeight="1">
      <c r="A133" s="182"/>
      <c r="B133" s="22"/>
      <c r="C133" s="22"/>
      <c r="D133" s="44"/>
      <c r="E133" s="38"/>
      <c r="F133" s="108" t="str">
        <f>IF(E133="","",VLOOKUP(E133,報名總表及收費!$I$29:$L$112,4))</f>
        <v/>
      </c>
      <c r="G133" s="42"/>
      <c r="H133" s="58" t="str">
        <f t="shared" ca="1" si="31"/>
        <v/>
      </c>
      <c r="I133" s="141"/>
      <c r="J133" s="130" t="str">
        <f t="shared" si="32"/>
        <v/>
      </c>
      <c r="K133" s="6"/>
      <c r="Q133" s="68" t="str">
        <f t="shared" ca="1" si="29"/>
        <v/>
      </c>
      <c r="R133" s="6" t="str">
        <f t="shared" si="33"/>
        <v/>
      </c>
      <c r="S133" s="6" t="str">
        <f t="shared" si="34"/>
        <v/>
      </c>
      <c r="T133" s="1" t="str">
        <f t="shared" si="35"/>
        <v/>
      </c>
      <c r="U133" t="str">
        <f t="shared" si="30"/>
        <v/>
      </c>
      <c r="V133"/>
    </row>
    <row r="134" spans="1:260" ht="16.5" customHeight="1">
      <c r="A134" s="182"/>
      <c r="B134" s="22"/>
      <c r="C134" s="22"/>
      <c r="D134" s="44"/>
      <c r="E134" s="38"/>
      <c r="F134" s="108" t="str">
        <f>IF(E134="","",VLOOKUP(E134,報名總表及收費!$I$29:$L$112,4))</f>
        <v/>
      </c>
      <c r="G134" s="42"/>
      <c r="H134" s="58" t="str">
        <f t="shared" ca="1" si="31"/>
        <v/>
      </c>
      <c r="I134" s="141"/>
      <c r="J134" s="130" t="str">
        <f t="shared" si="32"/>
        <v/>
      </c>
      <c r="N134"/>
      <c r="O134"/>
      <c r="P134"/>
      <c r="Q134" s="68" t="str">
        <f t="shared" ca="1" si="29"/>
        <v/>
      </c>
      <c r="R134" s="6" t="str">
        <f t="shared" si="33"/>
        <v/>
      </c>
      <c r="S134" s="6" t="str">
        <f t="shared" si="34"/>
        <v/>
      </c>
      <c r="T134" s="1" t="str">
        <f t="shared" si="35"/>
        <v/>
      </c>
      <c r="U134" t="str">
        <f t="shared" si="30"/>
        <v/>
      </c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  <c r="IN134"/>
      <c r="IO134"/>
      <c r="IP134"/>
      <c r="IQ134"/>
      <c r="IR134"/>
      <c r="IS134"/>
      <c r="IT134"/>
      <c r="IU134"/>
      <c r="IV134"/>
      <c r="IW134"/>
      <c r="IX134"/>
      <c r="IY134"/>
      <c r="IZ134"/>
    </row>
    <row r="135" spans="1:260" ht="16.5" customHeight="1">
      <c r="A135" s="183"/>
      <c r="B135" s="22"/>
      <c r="C135" s="22"/>
      <c r="D135" s="44"/>
      <c r="E135" s="38"/>
      <c r="F135" s="108" t="str">
        <f>IF(E135="","",VLOOKUP(E135,報名總表及收費!$I$29:$L$112,4))</f>
        <v/>
      </c>
      <c r="G135" s="42"/>
      <c r="H135" s="58" t="str">
        <f t="shared" ca="1" si="31"/>
        <v/>
      </c>
      <c r="I135" s="141"/>
      <c r="J135" s="130" t="str">
        <f t="shared" si="32"/>
        <v/>
      </c>
      <c r="K135"/>
      <c r="L135"/>
      <c r="M135"/>
      <c r="N135"/>
      <c r="O135"/>
      <c r="P135"/>
      <c r="Q135" s="68" t="str">
        <f t="shared" ca="1" si="29"/>
        <v/>
      </c>
      <c r="R135" s="6" t="str">
        <f t="shared" si="33"/>
        <v/>
      </c>
      <c r="S135" s="6" t="str">
        <f t="shared" si="34"/>
        <v/>
      </c>
      <c r="T135" s="1" t="str">
        <f t="shared" si="35"/>
        <v/>
      </c>
      <c r="U135" t="str">
        <f t="shared" si="30"/>
        <v/>
      </c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  <c r="IN135"/>
      <c r="IO135"/>
      <c r="IP135"/>
      <c r="IQ135"/>
      <c r="IR135"/>
      <c r="IS135"/>
      <c r="IT135"/>
      <c r="IU135"/>
      <c r="IV135"/>
      <c r="IW135"/>
      <c r="IX135"/>
      <c r="IY135"/>
      <c r="IZ135"/>
    </row>
    <row r="136" spans="1:260" ht="16.5" customHeight="1">
      <c r="A136" s="184" t="s">
        <v>99</v>
      </c>
      <c r="B136" s="18"/>
      <c r="C136" s="18"/>
      <c r="D136" s="43"/>
      <c r="E136" s="37"/>
      <c r="F136" s="107" t="str">
        <f>IF(E136="","",VLOOKUP(E136,報名總表及收費!$I$29:$L$112,4))</f>
        <v/>
      </c>
      <c r="G136" s="41"/>
      <c r="H136" s="55" t="str">
        <f t="shared" ca="1" si="31"/>
        <v/>
      </c>
      <c r="I136" s="140"/>
      <c r="J136" s="129" t="str">
        <f t="shared" si="32"/>
        <v/>
      </c>
      <c r="K136"/>
      <c r="L136"/>
      <c r="M136"/>
      <c r="N136"/>
      <c r="O136"/>
      <c r="P136"/>
      <c r="Q136" s="68" t="str">
        <f t="shared" ca="1" si="29"/>
        <v/>
      </c>
      <c r="R136" s="6" t="str">
        <f t="shared" si="33"/>
        <v/>
      </c>
      <c r="S136" s="6" t="str">
        <f t="shared" si="34"/>
        <v/>
      </c>
      <c r="T136" s="1" t="str">
        <f t="shared" si="35"/>
        <v/>
      </c>
      <c r="U136" t="str">
        <f t="shared" si="30"/>
        <v/>
      </c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  <c r="IN136"/>
      <c r="IO136"/>
      <c r="IP136"/>
      <c r="IQ136"/>
      <c r="IR136"/>
      <c r="IS136"/>
      <c r="IT136"/>
      <c r="IU136"/>
      <c r="IV136"/>
      <c r="IW136"/>
      <c r="IX136"/>
      <c r="IY136"/>
      <c r="IZ136"/>
    </row>
    <row r="137" spans="1:260" ht="16.5" customHeight="1">
      <c r="A137" s="185"/>
      <c r="B137" s="18"/>
      <c r="C137" s="18"/>
      <c r="D137" s="43"/>
      <c r="E137" s="37"/>
      <c r="F137" s="107" t="str">
        <f>IF(E137="","",VLOOKUP(E137,報名總表及收費!$I$29:$L$112,4))</f>
        <v/>
      </c>
      <c r="G137" s="41"/>
      <c r="H137" s="55" t="str">
        <f t="shared" ca="1" si="31"/>
        <v/>
      </c>
      <c r="I137" s="140"/>
      <c r="J137" s="129" t="str">
        <f t="shared" si="32"/>
        <v/>
      </c>
      <c r="K137"/>
      <c r="L137"/>
      <c r="M137"/>
      <c r="N137"/>
      <c r="O137"/>
      <c r="P137"/>
      <c r="Q137" s="68" t="str">
        <f t="shared" ca="1" si="29"/>
        <v/>
      </c>
      <c r="R137" s="6" t="str">
        <f t="shared" si="33"/>
        <v/>
      </c>
      <c r="S137" s="6" t="str">
        <f t="shared" si="34"/>
        <v/>
      </c>
      <c r="T137" s="1" t="str">
        <f t="shared" si="35"/>
        <v/>
      </c>
      <c r="U137" t="str">
        <f t="shared" si="30"/>
        <v/>
      </c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  <c r="IN137"/>
      <c r="IO137"/>
      <c r="IP137"/>
      <c r="IQ137"/>
      <c r="IR137"/>
      <c r="IS137"/>
      <c r="IT137"/>
      <c r="IU137"/>
      <c r="IV137"/>
      <c r="IW137"/>
      <c r="IX137"/>
      <c r="IY137"/>
      <c r="IZ137"/>
    </row>
    <row r="138" spans="1:260" ht="16.5" customHeight="1">
      <c r="A138" s="185"/>
      <c r="B138" s="18"/>
      <c r="C138" s="18"/>
      <c r="D138" s="43"/>
      <c r="E138" s="37"/>
      <c r="F138" s="107" t="str">
        <f>IF(E138="","",VLOOKUP(E138,報名總表及收費!$I$29:$L$112,4))</f>
        <v/>
      </c>
      <c r="G138" s="41"/>
      <c r="H138" s="55" t="str">
        <f t="shared" ca="1" si="31"/>
        <v/>
      </c>
      <c r="I138" s="140"/>
      <c r="J138" s="129" t="str">
        <f t="shared" si="32"/>
        <v/>
      </c>
      <c r="K138"/>
      <c r="L138"/>
      <c r="M138"/>
      <c r="N138"/>
      <c r="O138"/>
      <c r="P138"/>
      <c r="Q138" s="68" t="str">
        <f t="shared" ca="1" si="29"/>
        <v/>
      </c>
      <c r="R138" s="6" t="str">
        <f t="shared" si="33"/>
        <v/>
      </c>
      <c r="S138" s="6" t="str">
        <f t="shared" si="34"/>
        <v/>
      </c>
      <c r="T138" s="1" t="str">
        <f t="shared" si="35"/>
        <v/>
      </c>
      <c r="U138" t="str">
        <f t="shared" si="30"/>
        <v/>
      </c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  <c r="IN138"/>
      <c r="IO138"/>
      <c r="IP138"/>
      <c r="IQ138"/>
      <c r="IR138"/>
      <c r="IS138"/>
      <c r="IT138"/>
      <c r="IU138"/>
      <c r="IV138"/>
      <c r="IW138"/>
      <c r="IX138"/>
      <c r="IY138"/>
      <c r="IZ138"/>
    </row>
    <row r="139" spans="1:260" ht="16.5" customHeight="1">
      <c r="A139" s="186"/>
      <c r="B139" s="18"/>
      <c r="C139" s="18"/>
      <c r="D139" s="43"/>
      <c r="E139" s="37"/>
      <c r="F139" s="107" t="str">
        <f>IF(E139="","",VLOOKUP(E139,報名總表及收費!$I$29:$L$112,4))</f>
        <v/>
      </c>
      <c r="G139" s="41"/>
      <c r="H139" s="55" t="str">
        <f t="shared" ca="1" si="31"/>
        <v/>
      </c>
      <c r="I139" s="140"/>
      <c r="J139" s="129" t="str">
        <f t="shared" si="32"/>
        <v/>
      </c>
      <c r="K139"/>
      <c r="L139"/>
      <c r="M139"/>
      <c r="N139"/>
      <c r="O139"/>
      <c r="P139"/>
      <c r="Q139" s="68" t="str">
        <f t="shared" ca="1" si="29"/>
        <v/>
      </c>
      <c r="R139" s="6" t="str">
        <f t="shared" si="33"/>
        <v/>
      </c>
      <c r="S139" s="6" t="str">
        <f t="shared" si="34"/>
        <v/>
      </c>
      <c r="T139" s="1" t="str">
        <f t="shared" si="35"/>
        <v/>
      </c>
      <c r="U139" t="str">
        <f t="shared" si="30"/>
        <v/>
      </c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  <c r="IN139"/>
      <c r="IO139"/>
      <c r="IP139"/>
      <c r="IQ139"/>
      <c r="IR139"/>
      <c r="IS139"/>
      <c r="IT139"/>
      <c r="IU139"/>
      <c r="IV139"/>
      <c r="IW139"/>
      <c r="IX139"/>
      <c r="IY139"/>
      <c r="IZ139"/>
    </row>
    <row r="140" spans="1:260" ht="16.5" customHeight="1">
      <c r="A140" s="181" t="s">
        <v>100</v>
      </c>
      <c r="B140" s="22"/>
      <c r="C140" s="22"/>
      <c r="D140" s="44"/>
      <c r="E140" s="38"/>
      <c r="F140" s="108" t="str">
        <f>IF(E140="","",VLOOKUP(E140,報名總表及收費!$I$29:$L$112,4))</f>
        <v/>
      </c>
      <c r="G140" s="42"/>
      <c r="H140" s="58" t="str">
        <f t="shared" ca="1" si="31"/>
        <v/>
      </c>
      <c r="I140" s="141"/>
      <c r="J140" s="130" t="str">
        <f t="shared" si="32"/>
        <v/>
      </c>
      <c r="K140"/>
      <c r="L140"/>
      <c r="M140"/>
      <c r="N140"/>
      <c r="O140"/>
      <c r="P140"/>
      <c r="Q140" s="68" t="str">
        <f t="shared" ca="1" si="29"/>
        <v/>
      </c>
      <c r="R140" s="6" t="str">
        <f t="shared" si="33"/>
        <v/>
      </c>
      <c r="S140" s="6" t="str">
        <f t="shared" si="34"/>
        <v/>
      </c>
      <c r="T140" s="1" t="str">
        <f t="shared" si="35"/>
        <v/>
      </c>
      <c r="U140" t="str">
        <f t="shared" si="30"/>
        <v/>
      </c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  <c r="IJ140"/>
      <c r="IK140"/>
      <c r="IL140"/>
      <c r="IM140"/>
      <c r="IN140"/>
      <c r="IO140"/>
      <c r="IP140"/>
      <c r="IQ140"/>
      <c r="IR140"/>
      <c r="IS140"/>
      <c r="IT140"/>
      <c r="IU140"/>
      <c r="IV140"/>
      <c r="IW140"/>
      <c r="IX140"/>
      <c r="IY140"/>
      <c r="IZ140"/>
    </row>
    <row r="141" spans="1:260" ht="16.5" customHeight="1">
      <c r="A141" s="182"/>
      <c r="B141" s="22"/>
      <c r="C141" s="22"/>
      <c r="D141" s="44"/>
      <c r="E141" s="38"/>
      <c r="F141" s="108" t="str">
        <f>IF(E141="","",VLOOKUP(E141,報名總表及收費!$I$29:$L$112,4))</f>
        <v/>
      </c>
      <c r="G141" s="42"/>
      <c r="H141" s="58" t="str">
        <f t="shared" ca="1" si="31"/>
        <v/>
      </c>
      <c r="I141" s="141"/>
      <c r="J141" s="130" t="str">
        <f t="shared" si="32"/>
        <v/>
      </c>
      <c r="K141"/>
      <c r="L141"/>
      <c r="M141"/>
      <c r="N141"/>
      <c r="O141"/>
      <c r="P141"/>
      <c r="Q141" s="68" t="str">
        <f t="shared" ca="1" si="29"/>
        <v/>
      </c>
      <c r="R141" s="6" t="str">
        <f t="shared" si="33"/>
        <v/>
      </c>
      <c r="S141" s="6" t="str">
        <f t="shared" si="34"/>
        <v/>
      </c>
      <c r="T141" s="1" t="str">
        <f t="shared" si="35"/>
        <v/>
      </c>
      <c r="U141" t="str">
        <f t="shared" si="30"/>
        <v/>
      </c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  <c r="II141"/>
      <c r="IJ141"/>
      <c r="IK141"/>
      <c r="IL141"/>
      <c r="IM141"/>
      <c r="IN141"/>
      <c r="IO141"/>
      <c r="IP141"/>
      <c r="IQ141"/>
      <c r="IR141"/>
      <c r="IS141"/>
      <c r="IT141"/>
      <c r="IU141"/>
      <c r="IV141"/>
      <c r="IW141"/>
      <c r="IX141"/>
      <c r="IY141"/>
      <c r="IZ141"/>
    </row>
    <row r="142" spans="1:260" ht="16.5" customHeight="1">
      <c r="A142" s="182"/>
      <c r="B142" s="22"/>
      <c r="C142" s="22"/>
      <c r="D142" s="44"/>
      <c r="E142" s="38"/>
      <c r="F142" s="108" t="str">
        <f>IF(E142="","",VLOOKUP(E142,報名總表及收費!$I$29:$L$112,4))</f>
        <v/>
      </c>
      <c r="G142" s="42"/>
      <c r="H142" s="58" t="str">
        <f t="shared" ca="1" si="31"/>
        <v/>
      </c>
      <c r="I142" s="141"/>
      <c r="J142" s="130" t="str">
        <f t="shared" si="32"/>
        <v/>
      </c>
      <c r="K142"/>
      <c r="L142"/>
      <c r="M142"/>
      <c r="Q142" s="68" t="str">
        <f t="shared" ca="1" si="29"/>
        <v/>
      </c>
      <c r="R142" s="6" t="str">
        <f t="shared" si="33"/>
        <v/>
      </c>
      <c r="S142" s="6" t="str">
        <f t="shared" si="34"/>
        <v/>
      </c>
      <c r="T142" s="1" t="str">
        <f t="shared" si="35"/>
        <v/>
      </c>
      <c r="U142" t="str">
        <f t="shared" si="30"/>
        <v/>
      </c>
      <c r="V142"/>
    </row>
    <row r="143" spans="1:260" ht="16.5" customHeight="1">
      <c r="A143" s="183"/>
      <c r="B143" s="22"/>
      <c r="C143" s="22"/>
      <c r="D143" s="44"/>
      <c r="E143" s="38"/>
      <c r="F143" s="108" t="str">
        <f>IF(E143="","",VLOOKUP(E143,報名總表及收費!$I$29:$L$112,4))</f>
        <v/>
      </c>
      <c r="G143" s="42"/>
      <c r="H143" s="58" t="str">
        <f t="shared" ca="1" si="31"/>
        <v/>
      </c>
      <c r="I143" s="141"/>
      <c r="J143" s="130" t="str">
        <f t="shared" si="32"/>
        <v/>
      </c>
      <c r="Q143" s="68" t="str">
        <f t="shared" ca="1" si="29"/>
        <v/>
      </c>
      <c r="R143" s="6" t="str">
        <f t="shared" si="33"/>
        <v/>
      </c>
      <c r="S143" s="6" t="str">
        <f t="shared" si="34"/>
        <v/>
      </c>
      <c r="T143" s="1" t="str">
        <f t="shared" si="35"/>
        <v/>
      </c>
      <c r="U143" t="str">
        <f t="shared" si="30"/>
        <v/>
      </c>
      <c r="V143"/>
    </row>
    <row r="144" spans="1:260" ht="16.5" customHeight="1">
      <c r="A144" s="184" t="s">
        <v>101</v>
      </c>
      <c r="B144" s="18"/>
      <c r="C144" s="18"/>
      <c r="D144" s="43"/>
      <c r="E144" s="37"/>
      <c r="F144" s="107" t="str">
        <f>IF(E144="","",VLOOKUP(E144,報名總表及收費!$I$29:$L$112,4))</f>
        <v/>
      </c>
      <c r="G144" s="41"/>
      <c r="H144" s="55" t="str">
        <f t="shared" ca="1" si="31"/>
        <v/>
      </c>
      <c r="I144" s="140"/>
      <c r="J144" s="129" t="str">
        <f t="shared" si="32"/>
        <v/>
      </c>
      <c r="Q144" s="68" t="str">
        <f t="shared" ca="1" si="29"/>
        <v/>
      </c>
      <c r="R144" s="6" t="str">
        <f t="shared" si="33"/>
        <v/>
      </c>
      <c r="S144" s="6" t="str">
        <f t="shared" si="34"/>
        <v/>
      </c>
      <c r="T144" s="1" t="str">
        <f t="shared" si="35"/>
        <v/>
      </c>
      <c r="U144" t="str">
        <f t="shared" si="30"/>
        <v/>
      </c>
      <c r="V144"/>
    </row>
    <row r="145" spans="1:22" ht="16.5" customHeight="1">
      <c r="A145" s="185"/>
      <c r="B145" s="18"/>
      <c r="C145" s="18"/>
      <c r="D145" s="43"/>
      <c r="E145" s="37"/>
      <c r="F145" s="107" t="str">
        <f>IF(E145="","",VLOOKUP(E145,報名總表及收費!$I$29:$L$112,4))</f>
        <v/>
      </c>
      <c r="G145" s="41"/>
      <c r="H145" s="55" t="str">
        <f t="shared" ca="1" si="31"/>
        <v/>
      </c>
      <c r="I145" s="140"/>
      <c r="J145" s="129" t="str">
        <f t="shared" si="32"/>
        <v/>
      </c>
      <c r="Q145" s="68" t="str">
        <f t="shared" ca="1" si="29"/>
        <v/>
      </c>
      <c r="R145" s="6" t="str">
        <f t="shared" si="33"/>
        <v/>
      </c>
      <c r="S145" s="6" t="str">
        <f t="shared" si="34"/>
        <v/>
      </c>
      <c r="T145" s="1" t="str">
        <f t="shared" si="35"/>
        <v/>
      </c>
      <c r="U145" t="str">
        <f t="shared" si="30"/>
        <v/>
      </c>
      <c r="V145"/>
    </row>
    <row r="146" spans="1:22" ht="16.5" customHeight="1">
      <c r="A146" s="185"/>
      <c r="B146" s="18"/>
      <c r="C146" s="18"/>
      <c r="D146" s="43"/>
      <c r="E146" s="37"/>
      <c r="F146" s="107" t="str">
        <f>IF(E146="","",VLOOKUP(E146,報名總表及收費!$I$29:$L$112,4))</f>
        <v/>
      </c>
      <c r="G146" s="41"/>
      <c r="H146" s="55" t="str">
        <f t="shared" ca="1" si="31"/>
        <v/>
      </c>
      <c r="I146" s="140"/>
      <c r="J146" s="129" t="str">
        <f t="shared" si="32"/>
        <v/>
      </c>
      <c r="Q146" s="68" t="str">
        <f t="shared" ca="1" si="29"/>
        <v/>
      </c>
      <c r="R146" s="6" t="str">
        <f t="shared" si="33"/>
        <v/>
      </c>
      <c r="S146" s="6" t="str">
        <f t="shared" si="34"/>
        <v/>
      </c>
      <c r="T146" s="1" t="str">
        <f t="shared" si="35"/>
        <v/>
      </c>
      <c r="U146" t="str">
        <f t="shared" si="30"/>
        <v/>
      </c>
      <c r="V146"/>
    </row>
    <row r="147" spans="1:22" ht="16.5" customHeight="1">
      <c r="A147" s="186"/>
      <c r="B147" s="18"/>
      <c r="C147" s="18"/>
      <c r="D147" s="43"/>
      <c r="E147" s="37"/>
      <c r="F147" s="107" t="str">
        <f>IF(E147="","",VLOOKUP(E147,報名總表及收費!$I$29:$L$112,4))</f>
        <v/>
      </c>
      <c r="G147" s="41"/>
      <c r="H147" s="55" t="str">
        <f t="shared" ca="1" si="31"/>
        <v/>
      </c>
      <c r="I147" s="140"/>
      <c r="J147" s="129" t="str">
        <f t="shared" si="32"/>
        <v/>
      </c>
      <c r="Q147" s="68" t="str">
        <f t="shared" ca="1" si="29"/>
        <v/>
      </c>
      <c r="R147" s="6" t="str">
        <f t="shared" si="33"/>
        <v/>
      </c>
      <c r="S147" s="6" t="str">
        <f t="shared" si="34"/>
        <v/>
      </c>
      <c r="T147" s="1" t="str">
        <f t="shared" si="35"/>
        <v/>
      </c>
      <c r="U147" t="str">
        <f t="shared" si="30"/>
        <v/>
      </c>
      <c r="V147"/>
    </row>
    <row r="148" spans="1:22" ht="16.5" customHeight="1">
      <c r="A148" s="181" t="s">
        <v>102</v>
      </c>
      <c r="B148" s="22"/>
      <c r="C148" s="22"/>
      <c r="D148" s="44"/>
      <c r="E148" s="38"/>
      <c r="F148" s="108" t="str">
        <f>IF(E148="","",VLOOKUP(E148,報名總表及收費!$I$29:$L$112,4))</f>
        <v/>
      </c>
      <c r="G148" s="42"/>
      <c r="H148" s="58" t="str">
        <f t="shared" ca="1" si="31"/>
        <v/>
      </c>
      <c r="I148" s="141"/>
      <c r="J148" s="130" t="str">
        <f t="shared" si="32"/>
        <v/>
      </c>
      <c r="Q148" s="68" t="str">
        <f t="shared" ca="1" si="29"/>
        <v/>
      </c>
      <c r="R148" s="6" t="str">
        <f t="shared" si="33"/>
        <v/>
      </c>
      <c r="S148" s="6" t="str">
        <f t="shared" si="34"/>
        <v/>
      </c>
      <c r="T148" s="1" t="str">
        <f t="shared" si="35"/>
        <v/>
      </c>
      <c r="U148" t="str">
        <f t="shared" si="30"/>
        <v/>
      </c>
      <c r="V148"/>
    </row>
    <row r="149" spans="1:22" ht="16.5" customHeight="1">
      <c r="A149" s="182"/>
      <c r="B149" s="22"/>
      <c r="C149" s="22"/>
      <c r="D149" s="44"/>
      <c r="E149" s="38"/>
      <c r="F149" s="108" t="str">
        <f>IF(E149="","",VLOOKUP(E149,報名總表及收費!$I$29:$L$112,4))</f>
        <v/>
      </c>
      <c r="G149" s="42"/>
      <c r="H149" s="58" t="str">
        <f t="shared" ca="1" si="31"/>
        <v/>
      </c>
      <c r="I149" s="141"/>
      <c r="J149" s="130" t="str">
        <f t="shared" si="32"/>
        <v/>
      </c>
      <c r="Q149" s="68" t="str">
        <f t="shared" ca="1" si="29"/>
        <v/>
      </c>
      <c r="R149" s="6" t="str">
        <f t="shared" si="33"/>
        <v/>
      </c>
      <c r="S149" s="6" t="str">
        <f t="shared" si="34"/>
        <v/>
      </c>
      <c r="T149" s="1" t="str">
        <f t="shared" si="35"/>
        <v/>
      </c>
      <c r="U149" t="str">
        <f t="shared" si="30"/>
        <v/>
      </c>
      <c r="V149"/>
    </row>
    <row r="150" spans="1:22" ht="16.5" customHeight="1">
      <c r="A150" s="182"/>
      <c r="B150" s="22"/>
      <c r="C150" s="22"/>
      <c r="D150" s="44"/>
      <c r="E150" s="38"/>
      <c r="F150" s="108" t="str">
        <f>IF(E150="","",VLOOKUP(E150,報名總表及收費!$I$29:$L$112,4))</f>
        <v/>
      </c>
      <c r="G150" s="42"/>
      <c r="H150" s="58" t="str">
        <f t="shared" ca="1" si="31"/>
        <v/>
      </c>
      <c r="I150" s="141"/>
      <c r="J150" s="130" t="str">
        <f t="shared" si="32"/>
        <v/>
      </c>
      <c r="Q150" s="68" t="str">
        <f t="shared" ca="1" si="29"/>
        <v/>
      </c>
      <c r="R150" s="6" t="str">
        <f t="shared" si="33"/>
        <v/>
      </c>
      <c r="S150" s="6" t="str">
        <f t="shared" si="34"/>
        <v/>
      </c>
      <c r="T150" s="1" t="str">
        <f t="shared" si="35"/>
        <v/>
      </c>
      <c r="U150" t="str">
        <f t="shared" si="30"/>
        <v/>
      </c>
      <c r="V150"/>
    </row>
    <row r="151" spans="1:22" ht="16.5" customHeight="1">
      <c r="A151" s="183"/>
      <c r="B151" s="22"/>
      <c r="C151" s="22"/>
      <c r="D151" s="44"/>
      <c r="E151" s="38"/>
      <c r="F151" s="108" t="str">
        <f>IF(E151="","",VLOOKUP(E151,報名總表及收費!$I$29:$L$112,4))</f>
        <v/>
      </c>
      <c r="G151" s="42"/>
      <c r="H151" s="58" t="str">
        <f t="shared" ca="1" si="31"/>
        <v/>
      </c>
      <c r="I151" s="141"/>
      <c r="J151" s="130" t="str">
        <f t="shared" si="32"/>
        <v/>
      </c>
      <c r="Q151" s="68" t="str">
        <f t="shared" ca="1" si="29"/>
        <v/>
      </c>
      <c r="R151" s="6" t="str">
        <f t="shared" si="33"/>
        <v/>
      </c>
      <c r="S151" s="6" t="str">
        <f t="shared" si="34"/>
        <v/>
      </c>
      <c r="T151" s="1" t="str">
        <f t="shared" si="35"/>
        <v/>
      </c>
      <c r="U151" t="str">
        <f t="shared" si="30"/>
        <v/>
      </c>
      <c r="V151"/>
    </row>
    <row r="152" spans="1:22" ht="16.5" customHeight="1">
      <c r="A152" s="184" t="s">
        <v>103</v>
      </c>
      <c r="B152" s="18"/>
      <c r="C152" s="18"/>
      <c r="D152" s="43"/>
      <c r="E152" s="37"/>
      <c r="F152" s="107" t="str">
        <f>IF(E152="","",VLOOKUP(E152,報名總表及收費!$I$29:$L$112,4))</f>
        <v/>
      </c>
      <c r="G152" s="41"/>
      <c r="H152" s="55" t="str">
        <f t="shared" ca="1" si="31"/>
        <v/>
      </c>
      <c r="I152" s="140"/>
      <c r="J152" s="129" t="str">
        <f t="shared" ref="J152:J163" si="36">IF(E152="","",IF(((VLOOKUP(E152,$L$24:$T$69,5))&lt;G152),"報項時間慢於達標時間",""))&amp;IF(T152="FAIL","    運動員錯組別","")&amp;IF(MOD(E152,2)=0,""," 項目編號為女子組")</f>
        <v/>
      </c>
      <c r="Q152" s="68" t="str">
        <f t="shared" ca="1" si="29"/>
        <v/>
      </c>
      <c r="R152" s="6" t="str">
        <f t="shared" ref="R152:R163" si="37">IF(E152=0,"",IF(MOD(E152,2)=1,"",VLOOKUP(E152,$L$23:$R$63,6,FALSE)))</f>
        <v/>
      </c>
      <c r="S152" s="6" t="str">
        <f t="shared" ref="S152:S163" si="38">IF(D152=0,"",VLOOKUP(E152,$L$23:$R$63,4,FALSE))</f>
        <v/>
      </c>
      <c r="T152" s="1" t="str">
        <f t="shared" ref="T152:T163" si="39">IF(R152="","",IF(S152="A",IF(H152&gt;=R152,"OK","FAIL"),IF(S152="E",IF(H152&lt;=R152,"OK","FAIL"),IF(S152="B",IF(AND(H152&lt;=R152,H152&gt;=U152),"OK","FAIL"),IF(U152="",IF(H152=S152,"OK","FAIL"),IF(U152="9U",IF(H152&lt;=9,"OK","FAIL"),IF(U152="UP",IF(H152&gt;=15,"OK","FAIL"),IF(U152="DN",IF(H152&lt;=7,"OK","FAIL")))))))))</f>
        <v/>
      </c>
      <c r="U152" t="str">
        <f t="shared" si="30"/>
        <v/>
      </c>
      <c r="V152"/>
    </row>
    <row r="153" spans="1:22" ht="16.5" customHeight="1">
      <c r="A153" s="185"/>
      <c r="B153" s="18"/>
      <c r="C153" s="18"/>
      <c r="D153" s="43"/>
      <c r="E153" s="37"/>
      <c r="F153" s="107" t="str">
        <f>IF(E153="","",VLOOKUP(E153,報名總表及收費!$I$29:$L$112,4))</f>
        <v/>
      </c>
      <c r="G153" s="41"/>
      <c r="H153" s="55" t="str">
        <f t="shared" ca="1" si="31"/>
        <v/>
      </c>
      <c r="I153" s="140"/>
      <c r="J153" s="129" t="str">
        <f t="shared" si="36"/>
        <v/>
      </c>
      <c r="Q153" s="68" t="str">
        <f t="shared" ref="Q153:Q163" ca="1" si="40">IF(O153="E",YEAR(NOW())-$Q$5,IF(O153="A",YEAR(NOW())-$O$5,IF(O153="B",YEAR(NOW())-$P$5,IF(O153=0,"",O153))))</f>
        <v/>
      </c>
      <c r="R153" s="6" t="str">
        <f t="shared" si="37"/>
        <v/>
      </c>
      <c r="S153" s="6" t="str">
        <f t="shared" si="38"/>
        <v/>
      </c>
      <c r="T153" s="1" t="str">
        <f t="shared" si="39"/>
        <v/>
      </c>
      <c r="U153" t="str">
        <f t="shared" ref="U153:U163" si="41">IF(R153="15U","UP",IF(R153="7D","DN",IF(R153="9U","9U",IF(S153="B",11,""))))</f>
        <v/>
      </c>
      <c r="V153"/>
    </row>
    <row r="154" spans="1:22" ht="16.5" customHeight="1">
      <c r="A154" s="185"/>
      <c r="B154" s="18"/>
      <c r="C154" s="18"/>
      <c r="D154" s="43"/>
      <c r="E154" s="37"/>
      <c r="F154" s="107" t="str">
        <f>IF(E154="","",VLOOKUP(E154,報名總表及收費!$I$29:$L$112,4))</f>
        <v/>
      </c>
      <c r="G154" s="41"/>
      <c r="H154" s="55" t="str">
        <f t="shared" ref="H154:H163" ca="1" si="42">IF(D154="","", IF(D154=0,"",YEAR(NOW())-D154))</f>
        <v/>
      </c>
      <c r="I154" s="140"/>
      <c r="J154" s="129" t="str">
        <f t="shared" si="36"/>
        <v/>
      </c>
      <c r="Q154" s="68" t="str">
        <f t="shared" ca="1" si="40"/>
        <v/>
      </c>
      <c r="R154" s="6" t="str">
        <f t="shared" si="37"/>
        <v/>
      </c>
      <c r="S154" s="6" t="str">
        <f t="shared" si="38"/>
        <v/>
      </c>
      <c r="T154" s="1" t="str">
        <f t="shared" si="39"/>
        <v/>
      </c>
      <c r="U154" t="str">
        <f t="shared" si="41"/>
        <v/>
      </c>
      <c r="V154"/>
    </row>
    <row r="155" spans="1:22" ht="16.5" customHeight="1">
      <c r="A155" s="186"/>
      <c r="B155" s="18"/>
      <c r="C155" s="18"/>
      <c r="D155" s="43"/>
      <c r="E155" s="37"/>
      <c r="F155" s="107" t="str">
        <f>IF(E155="","",VLOOKUP(E155,報名總表及收費!$I$29:$L$112,4))</f>
        <v/>
      </c>
      <c r="G155" s="41"/>
      <c r="H155" s="55" t="str">
        <f t="shared" ca="1" si="42"/>
        <v/>
      </c>
      <c r="I155" s="140"/>
      <c r="J155" s="129" t="str">
        <f t="shared" si="36"/>
        <v/>
      </c>
      <c r="Q155" s="68" t="str">
        <f t="shared" ca="1" si="40"/>
        <v/>
      </c>
      <c r="R155" s="6" t="str">
        <f t="shared" si="37"/>
        <v/>
      </c>
      <c r="S155" s="6" t="str">
        <f t="shared" si="38"/>
        <v/>
      </c>
      <c r="T155" s="1" t="str">
        <f t="shared" si="39"/>
        <v/>
      </c>
      <c r="U155" t="str">
        <f t="shared" si="41"/>
        <v/>
      </c>
      <c r="V155"/>
    </row>
    <row r="156" spans="1:22" ht="16.5" customHeight="1">
      <c r="A156" s="200" t="s">
        <v>104</v>
      </c>
      <c r="B156" s="22"/>
      <c r="C156" s="22"/>
      <c r="D156" s="44"/>
      <c r="E156" s="44"/>
      <c r="F156" s="108" t="str">
        <f>IF(E156="","",VLOOKUP(E156,報名總表及收費!$I$29:$L$112,4))</f>
        <v/>
      </c>
      <c r="G156" s="42"/>
      <c r="H156" s="58" t="str">
        <f t="shared" ca="1" si="42"/>
        <v/>
      </c>
      <c r="I156" s="141"/>
      <c r="J156" s="130" t="str">
        <f t="shared" si="36"/>
        <v/>
      </c>
      <c r="Q156" s="68" t="str">
        <f t="shared" ca="1" si="40"/>
        <v/>
      </c>
      <c r="R156" s="6" t="str">
        <f t="shared" si="37"/>
        <v/>
      </c>
      <c r="S156" s="6" t="str">
        <f t="shared" si="38"/>
        <v/>
      </c>
      <c r="T156" s="1" t="str">
        <f t="shared" si="39"/>
        <v/>
      </c>
      <c r="U156" t="str">
        <f t="shared" si="41"/>
        <v/>
      </c>
      <c r="V156"/>
    </row>
    <row r="157" spans="1:22" ht="16.5" customHeight="1">
      <c r="A157" s="201"/>
      <c r="B157" s="22"/>
      <c r="C157" s="22"/>
      <c r="D157" s="44"/>
      <c r="E157" s="38"/>
      <c r="F157" s="108" t="str">
        <f>IF(E157="","",VLOOKUP(E157,報名總表及收費!$I$29:$L$112,4))</f>
        <v/>
      </c>
      <c r="G157" s="42"/>
      <c r="H157" s="58" t="str">
        <f t="shared" ca="1" si="42"/>
        <v/>
      </c>
      <c r="I157" s="141"/>
      <c r="J157" s="130" t="str">
        <f t="shared" si="36"/>
        <v/>
      </c>
      <c r="Q157" s="68" t="str">
        <f t="shared" ca="1" si="40"/>
        <v/>
      </c>
      <c r="R157" s="6" t="str">
        <f t="shared" si="37"/>
        <v/>
      </c>
      <c r="S157" s="6" t="str">
        <f t="shared" si="38"/>
        <v/>
      </c>
      <c r="T157" s="1" t="str">
        <f t="shared" si="39"/>
        <v/>
      </c>
      <c r="U157" t="str">
        <f t="shared" si="41"/>
        <v/>
      </c>
      <c r="V157"/>
    </row>
    <row r="158" spans="1:22" ht="16.5" customHeight="1">
      <c r="A158" s="201"/>
      <c r="B158" s="22"/>
      <c r="C158" s="22"/>
      <c r="D158" s="44"/>
      <c r="E158" s="38"/>
      <c r="F158" s="108" t="str">
        <f>IF(E158="","",VLOOKUP(E158,報名總表及收費!$I$29:$L$112,4))</f>
        <v/>
      </c>
      <c r="G158" s="42"/>
      <c r="H158" s="58" t="str">
        <f t="shared" ca="1" si="42"/>
        <v/>
      </c>
      <c r="I158" s="141"/>
      <c r="J158" s="130" t="str">
        <f t="shared" si="36"/>
        <v/>
      </c>
      <c r="Q158" s="68" t="str">
        <f t="shared" ca="1" si="40"/>
        <v/>
      </c>
      <c r="R158" s="6" t="str">
        <f t="shared" si="37"/>
        <v/>
      </c>
      <c r="S158" s="6" t="str">
        <f t="shared" si="38"/>
        <v/>
      </c>
      <c r="T158" s="1" t="str">
        <f t="shared" si="39"/>
        <v/>
      </c>
      <c r="U158" t="str">
        <f t="shared" si="41"/>
        <v/>
      </c>
      <c r="V158"/>
    </row>
    <row r="159" spans="1:22" ht="16.5" customHeight="1">
      <c r="A159" s="202"/>
      <c r="B159" s="22"/>
      <c r="C159" s="22"/>
      <c r="D159" s="44"/>
      <c r="E159" s="38"/>
      <c r="F159" s="108" t="str">
        <f>IF(E159="","",VLOOKUP(E159,報名總表及收費!$I$29:$L$112,4))</f>
        <v/>
      </c>
      <c r="G159" s="42"/>
      <c r="H159" s="58" t="str">
        <f t="shared" ca="1" si="42"/>
        <v/>
      </c>
      <c r="I159" s="141"/>
      <c r="J159" s="130" t="str">
        <f t="shared" si="36"/>
        <v/>
      </c>
      <c r="Q159" s="68" t="str">
        <f t="shared" ca="1" si="40"/>
        <v/>
      </c>
      <c r="R159" s="6" t="str">
        <f t="shared" si="37"/>
        <v/>
      </c>
      <c r="S159" s="6" t="str">
        <f t="shared" si="38"/>
        <v/>
      </c>
      <c r="T159" s="1" t="str">
        <f t="shared" si="39"/>
        <v/>
      </c>
      <c r="U159" t="str">
        <f t="shared" si="41"/>
        <v/>
      </c>
      <c r="V159"/>
    </row>
    <row r="160" spans="1:22" ht="16.5" customHeight="1">
      <c r="A160" s="184" t="s">
        <v>208</v>
      </c>
      <c r="B160" s="18"/>
      <c r="C160" s="18"/>
      <c r="D160" s="43"/>
      <c r="E160" s="37"/>
      <c r="F160" s="107" t="str">
        <f>IF(E160="","",VLOOKUP(E160,報名總表及收費!$I$29:$L$112,4))</f>
        <v/>
      </c>
      <c r="G160" s="41"/>
      <c r="H160" s="55" t="str">
        <f t="shared" ca="1" si="42"/>
        <v/>
      </c>
      <c r="I160" s="140"/>
      <c r="J160" s="129" t="str">
        <f t="shared" si="36"/>
        <v/>
      </c>
      <c r="Q160" s="68" t="str">
        <f t="shared" ca="1" si="40"/>
        <v/>
      </c>
      <c r="R160" s="6" t="str">
        <f t="shared" si="37"/>
        <v/>
      </c>
      <c r="S160" s="6" t="str">
        <f t="shared" si="38"/>
        <v/>
      </c>
      <c r="T160" s="1" t="str">
        <f t="shared" si="39"/>
        <v/>
      </c>
      <c r="U160" t="str">
        <f t="shared" si="41"/>
        <v/>
      </c>
      <c r="V160"/>
    </row>
    <row r="161" spans="1:22" ht="16.5" customHeight="1">
      <c r="A161" s="185"/>
      <c r="B161" s="18"/>
      <c r="C161" s="18"/>
      <c r="D161" s="43"/>
      <c r="E161" s="37"/>
      <c r="F161" s="107" t="str">
        <f>IF(E161="","",VLOOKUP(E161,報名總表及收費!$I$29:$L$112,4))</f>
        <v/>
      </c>
      <c r="G161" s="41"/>
      <c r="H161" s="55" t="str">
        <f t="shared" ca="1" si="42"/>
        <v/>
      </c>
      <c r="I161" s="140"/>
      <c r="J161" s="129" t="str">
        <f t="shared" si="36"/>
        <v/>
      </c>
      <c r="Q161" s="68" t="str">
        <f t="shared" ca="1" si="40"/>
        <v/>
      </c>
      <c r="R161" s="6" t="str">
        <f t="shared" si="37"/>
        <v/>
      </c>
      <c r="S161" s="6" t="str">
        <f t="shared" si="38"/>
        <v/>
      </c>
      <c r="T161" s="1" t="str">
        <f t="shared" si="39"/>
        <v/>
      </c>
      <c r="U161" t="str">
        <f t="shared" si="41"/>
        <v/>
      </c>
      <c r="V161"/>
    </row>
    <row r="162" spans="1:22" ht="16.5" customHeight="1">
      <c r="A162" s="185"/>
      <c r="B162" s="18"/>
      <c r="C162" s="18"/>
      <c r="D162" s="43"/>
      <c r="E162" s="37"/>
      <c r="F162" s="107" t="str">
        <f>IF(E162="","",VLOOKUP(E162,報名總表及收費!$I$29:$L$112,4))</f>
        <v/>
      </c>
      <c r="G162" s="41"/>
      <c r="H162" s="55" t="str">
        <f t="shared" ca="1" si="42"/>
        <v/>
      </c>
      <c r="I162" s="140"/>
      <c r="J162" s="129" t="str">
        <f t="shared" si="36"/>
        <v/>
      </c>
      <c r="Q162" s="68" t="str">
        <f t="shared" ca="1" si="40"/>
        <v/>
      </c>
      <c r="R162" s="6" t="str">
        <f t="shared" si="37"/>
        <v/>
      </c>
      <c r="S162" s="6" t="str">
        <f t="shared" si="38"/>
        <v/>
      </c>
      <c r="T162" s="1" t="str">
        <f t="shared" si="39"/>
        <v/>
      </c>
      <c r="U162" t="str">
        <f t="shared" si="41"/>
        <v/>
      </c>
      <c r="V162"/>
    </row>
    <row r="163" spans="1:22" ht="16.5" customHeight="1">
      <c r="A163" s="186"/>
      <c r="B163" s="18"/>
      <c r="C163" s="18"/>
      <c r="D163" s="43"/>
      <c r="E163" s="37"/>
      <c r="F163" s="107" t="str">
        <f>IF(E163="","",VLOOKUP(E163,報名總表及收費!$I$29:$L$112,4))</f>
        <v/>
      </c>
      <c r="G163" s="41"/>
      <c r="H163" s="55" t="str">
        <f t="shared" ca="1" si="42"/>
        <v/>
      </c>
      <c r="I163" s="140"/>
      <c r="J163" s="129" t="str">
        <f t="shared" si="36"/>
        <v/>
      </c>
      <c r="Q163" s="68" t="str">
        <f t="shared" ca="1" si="40"/>
        <v/>
      </c>
      <c r="R163" s="6" t="str">
        <f t="shared" si="37"/>
        <v/>
      </c>
      <c r="S163" s="6" t="str">
        <f t="shared" si="38"/>
        <v/>
      </c>
      <c r="T163" s="1" t="str">
        <f t="shared" si="39"/>
        <v/>
      </c>
      <c r="U163" t="str">
        <f t="shared" si="41"/>
        <v/>
      </c>
      <c r="V163"/>
    </row>
    <row r="164" spans="1:22" ht="16.5" customHeight="1">
      <c r="A164" s="6"/>
      <c r="B164" s="6"/>
      <c r="C164" s="6"/>
      <c r="D164" s="6"/>
      <c r="E164" s="6"/>
      <c r="F164" s="6"/>
      <c r="G164" s="6"/>
      <c r="H164" s="6"/>
      <c r="I164" s="110"/>
      <c r="J164" s="6"/>
    </row>
    <row r="165" spans="1:22" ht="16.5" customHeight="1">
      <c r="A165"/>
      <c r="B165"/>
      <c r="C165"/>
      <c r="D165"/>
      <c r="E165"/>
      <c r="F165"/>
      <c r="G165"/>
      <c r="H165"/>
      <c r="I165"/>
      <c r="J165"/>
    </row>
  </sheetData>
  <sheetProtection algorithmName="SHA-512" hashValue="6t7K8c9v5G4bZiMutazuFfCYb5EnwCw3Udi0VCkLgVkTf44wTdMheprKcXteqfJIt1uNebgkqn8LFQmOm4mnEg==" saltValue="KWlr5d7azG3nT+hN2W0ZKQ==" spinCount="100000" sheet="1"/>
  <mergeCells count="52">
    <mergeCell ref="A160:A163"/>
    <mergeCell ref="A156:A159"/>
    <mergeCell ref="A6:M6"/>
    <mergeCell ref="A9:M9"/>
    <mergeCell ref="B11:C11"/>
    <mergeCell ref="B12:C12"/>
    <mergeCell ref="A44:A47"/>
    <mergeCell ref="A24:A27"/>
    <mergeCell ref="A28:A31"/>
    <mergeCell ref="A32:A35"/>
    <mergeCell ref="A36:A39"/>
    <mergeCell ref="A40:A43"/>
    <mergeCell ref="A124:A127"/>
    <mergeCell ref="A88:A91"/>
    <mergeCell ref="A92:A95"/>
    <mergeCell ref="A96:A99"/>
    <mergeCell ref="A16:A20"/>
    <mergeCell ref="A1:M1"/>
    <mergeCell ref="A2:M2"/>
    <mergeCell ref="A3:M3"/>
    <mergeCell ref="A4:M4"/>
    <mergeCell ref="A5:M5"/>
    <mergeCell ref="B20:C20"/>
    <mergeCell ref="B13:C13"/>
    <mergeCell ref="B17:C17"/>
    <mergeCell ref="B19:C19"/>
    <mergeCell ref="B15:C15"/>
    <mergeCell ref="B16:C16"/>
    <mergeCell ref="B18:C18"/>
    <mergeCell ref="A48:A51"/>
    <mergeCell ref="A52:A55"/>
    <mergeCell ref="A56:A59"/>
    <mergeCell ref="A60:A63"/>
    <mergeCell ref="A64:A67"/>
    <mergeCell ref="A116:A119"/>
    <mergeCell ref="A120:A123"/>
    <mergeCell ref="A68:A71"/>
    <mergeCell ref="A72:A75"/>
    <mergeCell ref="A76:A79"/>
    <mergeCell ref="A80:A83"/>
    <mergeCell ref="A84:A87"/>
    <mergeCell ref="A100:A103"/>
    <mergeCell ref="A104:A107"/>
    <mergeCell ref="A108:A111"/>
    <mergeCell ref="A112:A115"/>
    <mergeCell ref="A148:A151"/>
    <mergeCell ref="A152:A155"/>
    <mergeCell ref="A128:A131"/>
    <mergeCell ref="A132:A135"/>
    <mergeCell ref="A136:A139"/>
    <mergeCell ref="A140:A143"/>
    <mergeCell ref="A144:A147"/>
  </mergeCells>
  <phoneticPr fontId="5" type="noConversion"/>
  <conditionalFormatting sqref="B11:C13">
    <cfRule type="containsBlanks" dxfId="21" priority="14">
      <formula>LEN(TRIM(B11))=0</formula>
    </cfRule>
  </conditionalFormatting>
  <conditionalFormatting sqref="B20:J20">
    <cfRule type="expression" dxfId="20" priority="64">
      <formula>IF($E$20="","TRUE","")</formula>
    </cfRule>
  </conditionalFormatting>
  <conditionalFormatting sqref="B24:J163">
    <cfRule type="expression" dxfId="19" priority="61">
      <formula>AND(VLOOKUP($E24,$L$23:$N$57,3)=$E24,VLOOKUP($E24,$L$23:$N$57,2)&gt;$O$2)</formula>
    </cfRule>
  </conditionalFormatting>
  <conditionalFormatting sqref="D18:J20 B18:B20">
    <cfRule type="expression" dxfId="18" priority="60">
      <formula>AND($E$18="",$E$19="")</formula>
    </cfRule>
  </conditionalFormatting>
  <conditionalFormatting sqref="G24:G163">
    <cfRule type="expression" dxfId="17" priority="62">
      <formula>IF(VLOOKUP(E24,$L$24:$T$69,5)&lt;G24, TRUE)</formula>
    </cfRule>
    <cfRule type="cellIs" dxfId="16" priority="63" operator="notBetween">
      <formula>0</formula>
      <formula>100000</formula>
    </cfRule>
  </conditionalFormatting>
  <conditionalFormatting sqref="G16:I20">
    <cfRule type="cellIs" dxfId="15" priority="3" operator="notBetween">
      <formula>0</formula>
      <formula>100000</formula>
    </cfRule>
    <cfRule type="cellIs" dxfId="14" priority="4" operator="notBetween">
      <formula>0</formula>
      <formula>100000</formula>
    </cfRule>
  </conditionalFormatting>
  <conditionalFormatting sqref="M16:M20">
    <cfRule type="cellIs" dxfId="13" priority="30" operator="greaterThan">
      <formula>1</formula>
    </cfRule>
  </conditionalFormatting>
  <conditionalFormatting sqref="M24:M64">
    <cfRule type="cellIs" dxfId="12" priority="48" operator="greaterThan">
      <formula>$O$2</formula>
    </cfRule>
  </conditionalFormatting>
  <dataValidations count="1">
    <dataValidation type="list" allowBlank="1" showInputMessage="1" showErrorMessage="1" sqref="I24:I163" xr:uid="{00000000-0002-0000-0100-000000000000}">
      <formula1>$T$3:$T$4</formula1>
    </dataValidation>
  </dataValidations>
  <pageMargins left="0.7" right="0.7" top="0.75" bottom="0.75" header="0.3" footer="0.3"/>
  <pageSetup scale="25" orientation="portrait" r:id="rId1"/>
  <headerFooter>
    <oddFooter>&amp;C&amp;"Helvetica Neue,Regular"&amp;12&amp;K000000&amp;P</oddFoot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IZ164"/>
  <sheetViews>
    <sheetView view="pageBreakPreview" zoomScale="70" zoomScaleNormal="60" zoomScaleSheetLayoutView="70" workbookViewId="0">
      <pane ySplit="22" topLeftCell="A23" activePane="bottomLeft" state="frozen"/>
      <selection pane="bottomLeft" activeCell="J33" sqref="J33"/>
    </sheetView>
  </sheetViews>
  <sheetFormatPr defaultRowHeight="16.5" customHeight="1"/>
  <cols>
    <col min="1" max="1" width="11.75" style="1" customWidth="1"/>
    <col min="2" max="2" width="14.625" style="1" customWidth="1"/>
    <col min="3" max="3" width="22" style="1" customWidth="1"/>
    <col min="4" max="5" width="12.625" style="1" customWidth="1"/>
    <col min="6" max="6" width="32.25" style="1" customWidth="1"/>
    <col min="7" max="7" width="20.375" style="1" customWidth="1"/>
    <col min="8" max="9" width="12.625" style="1" customWidth="1"/>
    <col min="10" max="10" width="37.75" style="1" customWidth="1"/>
    <col min="11" max="13" width="8.875" style="1" customWidth="1"/>
    <col min="14" max="17" width="8.875" style="1" hidden="1" customWidth="1"/>
    <col min="18" max="18" width="14.75" style="1" hidden="1" customWidth="1"/>
    <col min="19" max="26" width="8.875" style="1" hidden="1" customWidth="1"/>
    <col min="27" max="260" width="8.875" style="1" customWidth="1"/>
  </cols>
  <sheetData>
    <row r="1" spans="1:260" ht="87" customHeight="1">
      <c r="A1" s="206" t="s">
        <v>25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/>
      <c r="O1" s="28" t="s">
        <v>363</v>
      </c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</row>
    <row r="2" spans="1:260" ht="16.5" customHeight="1">
      <c r="A2" s="190" t="s">
        <v>15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>
        <f>COUNTA(I24:I163)</f>
        <v>0</v>
      </c>
      <c r="O2">
        <f xml:space="preserve"> VLOOKUP(F11,報名總表及收費!H1:T7,13,FALSE)</f>
        <v>4</v>
      </c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</row>
    <row r="3" spans="1:260" ht="16.5" customHeight="1">
      <c r="A3" s="190" t="s">
        <v>210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</row>
    <row r="4" spans="1:260" ht="16.5" customHeight="1">
      <c r="A4" s="192" t="s">
        <v>120</v>
      </c>
      <c r="B4" s="193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/>
      <c r="O4" s="115" t="s">
        <v>159</v>
      </c>
      <c r="P4" s="115" t="s">
        <v>160</v>
      </c>
      <c r="Q4" s="115" t="s">
        <v>381</v>
      </c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</row>
    <row r="5" spans="1:260" ht="16.5" customHeight="1">
      <c r="A5" s="194" t="str">
        <f>"3. 每個個人項目每團體最多可報"&amp; VLOOKUP(F11,報名總表及收費!H1:T7,13,FALSE) &amp; "個運動員。每名運動員限報個人項目︰"&amp; VLOOKUP(F11,報名總表及收費!H1:T7,12,FALSE) &amp;"，個人項目報名總數可參考報名表右方"</f>
        <v>3. 每個個人項目每團體最多可報4個運動員。每名運動員限報個人項目︰週年賽4項，個人項目報名總數可參考報名表右方</v>
      </c>
      <c r="B5" s="195"/>
      <c r="C5" s="195"/>
      <c r="D5" s="195"/>
      <c r="E5" s="195"/>
      <c r="F5" s="195"/>
      <c r="G5" s="195"/>
      <c r="H5" s="195"/>
      <c r="I5" s="195"/>
      <c r="J5" s="195"/>
      <c r="K5" s="195"/>
      <c r="L5" s="195"/>
      <c r="M5" s="195"/>
      <c r="N5"/>
      <c r="O5" s="65">
        <f>VLOOKUP($O$8,報名總表及收費!$L$2:$R$7,4,FALSE)</f>
        <v>2008</v>
      </c>
      <c r="P5" s="65">
        <f>VLOOKUP($O$8,報名總表及收費!$L$2:$R$7,5,FALSE)</f>
        <v>2009</v>
      </c>
      <c r="Q5" s="65">
        <f>VLOOKUP($O$8,報名總表及收費!$L$2:$R$7,7,FALSE)</f>
        <v>2014</v>
      </c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</row>
    <row r="6" spans="1:260" ht="16.5" customHeight="1">
      <c r="A6" s="190" t="s">
        <v>16</v>
      </c>
      <c r="B6" s="191"/>
      <c r="C6" s="191"/>
      <c r="D6" s="191"/>
      <c r="E6" s="191"/>
      <c r="F6" s="191"/>
      <c r="G6" s="191"/>
      <c r="H6" s="191"/>
      <c r="I6" s="191"/>
      <c r="J6" s="191"/>
      <c r="K6" s="191"/>
      <c r="L6" s="191"/>
      <c r="M6" s="191"/>
      <c r="N6"/>
      <c r="O6" s="114"/>
      <c r="P6" s="114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</row>
    <row r="7" spans="1:260" ht="16.5" customHeight="1">
      <c r="A7" s="61" t="s">
        <v>214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/>
      <c r="O7" s="114"/>
      <c r="P7" s="114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</row>
    <row r="8" spans="1:260" ht="16.5" customHeight="1">
      <c r="A8" s="61" t="s">
        <v>213</v>
      </c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/>
      <c r="O8" s="114" t="str">
        <f>報名總表及收費!H30</f>
        <v>短池</v>
      </c>
      <c r="P8" s="114"/>
      <c r="Q8"/>
      <c r="R8" s="144" t="s">
        <v>230</v>
      </c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</row>
    <row r="9" spans="1:260" ht="16.5" customHeight="1">
      <c r="A9" s="190" t="s">
        <v>265</v>
      </c>
      <c r="B9" s="191"/>
      <c r="C9" s="191"/>
      <c r="D9" s="191"/>
      <c r="E9" s="191"/>
      <c r="F9" s="191"/>
      <c r="G9" s="191"/>
      <c r="H9" s="191"/>
      <c r="I9" s="191"/>
      <c r="J9" s="191"/>
      <c r="K9" s="191"/>
      <c r="L9" s="191"/>
      <c r="M9" s="191"/>
      <c r="N9"/>
      <c r="O9" s="114"/>
      <c r="P9" s="114"/>
      <c r="Q9"/>
      <c r="R9" s="28" t="s">
        <v>231</v>
      </c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</row>
    <row r="10" spans="1:260" ht="16.5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6"/>
      <c r="L10" s="6"/>
      <c r="M10" s="6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</row>
    <row r="11" spans="1:260" ht="16.5" customHeight="1">
      <c r="A11" s="7" t="s">
        <v>3</v>
      </c>
      <c r="B11" s="196" t="str">
        <f>IF(報名總表及收費!B10=0,"",報名總表及收費!B10)</f>
        <v/>
      </c>
      <c r="C11" s="197"/>
      <c r="D11" s="8"/>
      <c r="E11" s="7" t="s">
        <v>0</v>
      </c>
      <c r="F11" s="116" t="str">
        <f>報名總表及收費!F10</f>
        <v>周年(短池)游泳錦標賽</v>
      </c>
      <c r="G11" s="104"/>
      <c r="H11" s="104"/>
      <c r="I11" s="104"/>
      <c r="J11" s="56"/>
      <c r="K11" s="6"/>
      <c r="L11" s="6"/>
      <c r="M11" s="6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</row>
    <row r="12" spans="1:260" ht="16.5" customHeight="1">
      <c r="A12" s="7" t="s">
        <v>4</v>
      </c>
      <c r="B12" s="196" t="str">
        <f>IF(報名總表及收費!B11=0,"",報名總表及收費!B11)</f>
        <v/>
      </c>
      <c r="C12" s="197"/>
      <c r="D12" s="8"/>
      <c r="E12" s="7" t="s">
        <v>1</v>
      </c>
      <c r="F12" s="48">
        <f>報名總表及收費!F11</f>
        <v>45256</v>
      </c>
      <c r="G12" s="105"/>
      <c r="H12" s="105"/>
      <c r="I12" s="105"/>
      <c r="J12" s="57"/>
      <c r="K12" s="6"/>
      <c r="L12" s="6"/>
      <c r="M12" s="6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</row>
    <row r="13" spans="1:260" ht="16.5" customHeight="1">
      <c r="A13" s="7" t="s">
        <v>5</v>
      </c>
      <c r="B13" s="196" t="str">
        <f>IF(報名總表及收費!B12=0,"",報名總表及收費!B12)</f>
        <v/>
      </c>
      <c r="C13" s="197"/>
      <c r="D13" s="8"/>
      <c r="E13" s="7" t="s">
        <v>2</v>
      </c>
      <c r="F13" s="116" t="str">
        <f>報名總表及收費!F12</f>
        <v>城門谷游泳池</v>
      </c>
      <c r="G13" s="104"/>
      <c r="H13" s="104"/>
      <c r="I13" s="104"/>
      <c r="J13" s="56"/>
      <c r="K13" s="6"/>
      <c r="L13" s="6"/>
      <c r="M13" s="6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</row>
    <row r="14" spans="1:260" ht="16.5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6"/>
      <c r="L14" s="6"/>
      <c r="M14" s="6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</row>
    <row r="15" spans="1:260" ht="16.5" customHeight="1">
      <c r="A15" s="6"/>
      <c r="B15" s="208" t="s">
        <v>55</v>
      </c>
      <c r="C15" s="209"/>
      <c r="D15" s="99"/>
      <c r="E15" s="88" t="s">
        <v>20</v>
      </c>
      <c r="F15" s="87" t="s">
        <v>53</v>
      </c>
      <c r="G15" s="120" t="s">
        <v>21</v>
      </c>
      <c r="H15" s="99"/>
      <c r="I15" s="134"/>
      <c r="J15" s="89" t="s">
        <v>144</v>
      </c>
      <c r="L15" s="14" t="s">
        <v>56</v>
      </c>
      <c r="M15" s="14" t="s">
        <v>52</v>
      </c>
    </row>
    <row r="16" spans="1:260" ht="16.5" customHeight="1">
      <c r="A16" s="187" t="s">
        <v>53</v>
      </c>
      <c r="B16" s="187" t="str">
        <f>IF(報名總表及收費!$B$10=0,"",報名總表及收費!$B$10)</f>
        <v/>
      </c>
      <c r="C16" s="205"/>
      <c r="D16" s="90"/>
      <c r="E16" s="91">
        <f>IF(VLOOKUP(報名總表及收費!$H$30,報名總表及收費!$L$2:$AX$6,21,FALSE)=0,"",VLOOKUP(報名總表及收費!$H$30,報名總表及收費!$L$2:$AX$6,21,FALSE))</f>
        <v>21</v>
      </c>
      <c r="F16" s="91" t="str">
        <f>IF(VLOOKUP(報名總表及收費!$H$30,報名總表及收費!$L$2:$AX$6,21,FALSE)=0,"",VLOOKUP(報名總表及收費!$H$30,報名總表及收費!$L$2:$AX$6,20,FALSE))</f>
        <v>女甲 4X50米自由泳接力</v>
      </c>
      <c r="G16" s="100"/>
      <c r="H16" s="90"/>
      <c r="I16" s="90"/>
      <c r="J16" s="71" t="str">
        <f>IF(B16="","",IF(G16="","未報名",""))</f>
        <v/>
      </c>
      <c r="L16" s="15">
        <f>E16</f>
        <v>21</v>
      </c>
      <c r="M16" s="15">
        <f>COUNTA(G16)</f>
        <v>0</v>
      </c>
    </row>
    <row r="17" spans="1:260" ht="16.5" customHeight="1">
      <c r="A17" s="187"/>
      <c r="B17" s="187" t="str">
        <f>IF(報名總表及收費!$B$10=0,"",報名總表及收費!$B$10)</f>
        <v/>
      </c>
      <c r="C17" s="205"/>
      <c r="D17" s="90"/>
      <c r="E17" s="91">
        <f>IF(VLOOKUP(報名總表及收費!$H$30,報名總表及收費!$L$2:$AX$6,21,FALSE)=0,"",VLOOKUP(報名總表及收費!$H$30,報名總表及收費!$L$2:$AX$6,23,FALSE))</f>
        <v>23</v>
      </c>
      <c r="F17" s="91" t="str">
        <f>IF(VLOOKUP(報名總表及收費!$H$30,報名總表及收費!$L$2:$AX$6,21,FALSE)=0,"",VLOOKUP(報名總表及收費!$H$30,報名總表及收費!$L$2:$AX$6,22,FALSE))</f>
        <v>女乙 4X50米自由泳接力</v>
      </c>
      <c r="G17" s="101"/>
      <c r="H17" s="90"/>
      <c r="I17" s="90"/>
      <c r="J17" s="71" t="str">
        <f>IF(B17="","",IF(G17="","未報名",""))</f>
        <v/>
      </c>
      <c r="L17" s="15">
        <f>E17</f>
        <v>23</v>
      </c>
      <c r="M17" s="15">
        <f>COUNTA(G17)</f>
        <v>0</v>
      </c>
    </row>
    <row r="18" spans="1:260" ht="16.5" customHeight="1">
      <c r="A18" s="187"/>
      <c r="B18" s="187" t="str">
        <f>IF(E18="","",IF(報名總表及收費!$B$10=0,"",報名總表及收費!$B$10))</f>
        <v/>
      </c>
      <c r="C18" s="205"/>
      <c r="D18" s="90"/>
      <c r="E18" s="91">
        <f>IF(VLOOKUP(報名總表及收費!$H$30,報名總表及收費!$L$2:$AX$6,25,FALSE)=0,"",VLOOKUP(報名總表及收費!$H$30,報名總表及收費!$L$2:$AX$6,25,FALSE))</f>
        <v>25</v>
      </c>
      <c r="F18" s="91" t="str">
        <f>IF(VLOOKUP(報名總表及收費!$H$30,報名總表及收費!$L$2:$AX$6,25,FALSE)=0,"",VLOOKUP(報名總表及收費!$H$30,報名總表及收費!$L$2:$AX$6,24,FALSE))</f>
        <v>女丙 4X50米自由泳接力</v>
      </c>
      <c r="G18" s="101"/>
      <c r="H18" s="90"/>
      <c r="I18" s="90"/>
      <c r="J18" s="71" t="str">
        <f>IF(B18="","",IF(G18="","未報名",""))</f>
        <v/>
      </c>
      <c r="L18" s="15">
        <f>E18</f>
        <v>25</v>
      </c>
      <c r="M18" s="15">
        <f>COUNTA(G18)</f>
        <v>0</v>
      </c>
    </row>
    <row r="19" spans="1:260" ht="16.5" customHeight="1">
      <c r="A19" s="187"/>
      <c r="B19" s="187" t="str">
        <f>IF(E19="","",IF(報名總表及收費!$B$10=0,"",報名總表及收費!$B$10))</f>
        <v/>
      </c>
      <c r="C19" s="205"/>
      <c r="D19" s="90"/>
      <c r="E19" s="91">
        <f>IF(VLOOKUP(報名總表及收費!$H$30,報名總表及收費!$L$2:$AX$6,25,FALSE)=0,"",VLOOKUP(報名總表及收費!$H$30,報名總表及收費!$L$2:$AX$6,27,FALSE))</f>
        <v>41</v>
      </c>
      <c r="F19" s="91" t="str">
        <f>IF(VLOOKUP(報名總表及收費!$H$30,報名總表及收費!$L$2:$AX$6,25,FALSE)=0,"",VLOOKUP(報名總表及收費!$H$30,報名總表及收費!$L$2:$AX$6,26,FALSE))</f>
        <v>女甲 4X50米四式接力</v>
      </c>
      <c r="G19" s="101"/>
      <c r="H19" s="90"/>
      <c r="I19" s="90"/>
      <c r="J19" s="71"/>
      <c r="L19" s="15">
        <f>E19</f>
        <v>41</v>
      </c>
      <c r="M19" s="15">
        <f>COUNTA(G19)</f>
        <v>0</v>
      </c>
    </row>
    <row r="20" spans="1:260" ht="16.5" customHeight="1">
      <c r="A20" s="187"/>
      <c r="B20" s="187" t="str">
        <f>IF(E20="","",IF(報名總表及收費!$B$10=0,"",報名總表及收費!$B$10))</f>
        <v/>
      </c>
      <c r="C20" s="205"/>
      <c r="D20" s="90"/>
      <c r="E20" s="91">
        <f>IF(VLOOKUP(報名總表及收費!$H$30,報名總表及收費!$L$2:$AX$6,29,FALSE)=0,"",VLOOKUP(報名總表及收費!$H$30,報名總表及收費!$L$2:$AX$6,29,FALSE))</f>
        <v>43</v>
      </c>
      <c r="F20" s="91" t="str">
        <f>IF(VLOOKUP(報名總表及收費!$H$30,報名總表及收費!$L$2:$AX$6,28,FALSE)=0,"",VLOOKUP(報名總表及收費!$H$30,報名總表及收費!$L$2:$AX$6,28,FALSE))</f>
        <v>女乙 4X50米四式接力</v>
      </c>
      <c r="G20" s="102"/>
      <c r="H20" s="90"/>
      <c r="I20" s="90"/>
      <c r="J20" s="71" t="str">
        <f>IF(B20="","",IF(G20="","未報名",""))</f>
        <v/>
      </c>
      <c r="L20" s="15">
        <f>E20</f>
        <v>43</v>
      </c>
      <c r="M20" s="15">
        <f>COUNTA(G20)</f>
        <v>0</v>
      </c>
    </row>
    <row r="21" spans="1:260" ht="16.5" customHeight="1">
      <c r="A21" s="82"/>
      <c r="B21" s="82"/>
      <c r="C21" s="83"/>
      <c r="D21" s="84"/>
      <c r="E21" s="84"/>
      <c r="F21" s="84"/>
      <c r="H21" s="85"/>
      <c r="I21" s="85"/>
      <c r="J21" s="86"/>
      <c r="L21" s="81"/>
      <c r="M21" s="81"/>
    </row>
    <row r="22" spans="1:260" ht="16.5" customHeight="1">
      <c r="A22" s="9"/>
      <c r="B22" s="118" t="s">
        <v>17</v>
      </c>
      <c r="C22" s="118" t="s">
        <v>18</v>
      </c>
      <c r="D22" s="118" t="s">
        <v>19</v>
      </c>
      <c r="E22" s="119" t="s">
        <v>20</v>
      </c>
      <c r="F22" s="10" t="s">
        <v>166</v>
      </c>
      <c r="G22" s="118" t="s">
        <v>21</v>
      </c>
      <c r="H22" s="135" t="s">
        <v>95</v>
      </c>
      <c r="I22" s="119" t="s">
        <v>264</v>
      </c>
      <c r="J22" s="14" t="s">
        <v>144</v>
      </c>
      <c r="K22" s="6"/>
      <c r="L22" s="6"/>
      <c r="M22" s="6"/>
      <c r="N22"/>
      <c r="O22" s="28" t="s">
        <v>147</v>
      </c>
      <c r="P22" s="28" t="s">
        <v>149</v>
      </c>
      <c r="Q22"/>
      <c r="R22" s="63" t="s">
        <v>161</v>
      </c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</row>
    <row r="23" spans="1:260" ht="16.5" customHeight="1">
      <c r="A23" s="7" t="s">
        <v>22</v>
      </c>
      <c r="B23" s="7" t="s">
        <v>23</v>
      </c>
      <c r="C23" s="7" t="s">
        <v>24</v>
      </c>
      <c r="D23" s="15">
        <v>1999</v>
      </c>
      <c r="E23" s="97">
        <v>11</v>
      </c>
      <c r="F23" s="97" t="str">
        <f>IF(E23="","",VLOOKUP(E23,報名總表及收費!$I$29:$L$97,4))</f>
        <v>女甲 100米蝶泳</v>
      </c>
      <c r="G23" s="98">
        <v>1228</v>
      </c>
      <c r="H23" s="136">
        <f ca="1">IF(D23=0,"",YEAR(NOW())-D23)</f>
        <v>24</v>
      </c>
      <c r="I23" s="131" t="s">
        <v>231</v>
      </c>
      <c r="J23" s="59"/>
      <c r="K23" s="6"/>
      <c r="L23" s="14" t="s">
        <v>54</v>
      </c>
      <c r="M23" s="14" t="s">
        <v>52</v>
      </c>
      <c r="N23"/>
      <c r="O23" s="28"/>
      <c r="P23" s="28"/>
      <c r="Q23" s="28"/>
      <c r="R23" s="6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</row>
    <row r="24" spans="1:260" ht="16.5" customHeight="1">
      <c r="A24" s="203" t="s">
        <v>26</v>
      </c>
      <c r="B24" s="92"/>
      <c r="C24" s="148"/>
      <c r="D24" s="43"/>
      <c r="E24" s="93"/>
      <c r="F24" s="106" t="str">
        <f>IF(E24="","",VLOOKUP(E24,報名總表及收費!$I$29:$L$110,4))</f>
        <v/>
      </c>
      <c r="G24" s="94"/>
      <c r="H24" s="95" t="str">
        <f t="shared" ref="H24:H87" ca="1" si="0">IF(D24=0,"",YEAR(NOW())-D24)</f>
        <v/>
      </c>
      <c r="I24" s="138"/>
      <c r="J24" s="96" t="str">
        <f>IF(E24="","",IF(((VLOOKUP(E24,$L$24:$Q$66,5))&lt;G24),"報項時間慢於達標時間",""))&amp;IF(T24="FAIL","    運動員錯組別","")&amp;IF(E24="","",IF(MOD(E24,2)=1,""," 項目編號為男子組"))</f>
        <v/>
      </c>
      <c r="K24" s="6"/>
      <c r="L24" s="15">
        <v>1</v>
      </c>
      <c r="M24" s="15">
        <f>COUNTIFS($E$24:$E$159,"=1")</f>
        <v>0</v>
      </c>
      <c r="N24" t="str">
        <f>IF(M24&gt;$O$2, L24, "OK")</f>
        <v>OK</v>
      </c>
      <c r="O24" t="str">
        <f>VLOOKUP(L24,報名總表及收費!$I$30:$K$118,2)</f>
        <v>C</v>
      </c>
      <c r="P24" s="1">
        <f>IF(VLOOKUP(L24,報名總表及收費!$I$30:$K$118,3)=0,"",VLOOKUP(L24,報名總表及收費!$I$30:$K$118,3,FALSE))</f>
        <v>13400</v>
      </c>
      <c r="Q24" s="68">
        <f ca="1">IF(O24="D",YEAR(NOW())-$P$5,IF(O24="C",YEAR(NOW())-$O$5,IF(O24="F",YEAR(NOW())-$Q$5,IF(O24=0,"",O24))))</f>
        <v>15</v>
      </c>
      <c r="R24" s="6" t="str">
        <f>IF(E24=0,"",IF(MOD(E24,2)=0,"",VLOOKUP(E24,$L$23:$Q$63,6,FALSE)))</f>
        <v/>
      </c>
      <c r="S24" s="6" t="str">
        <f>IF(D24=0,"",VLOOKUP(E24,$L$24:$Q$63,4,FALSE))</f>
        <v/>
      </c>
      <c r="T24" s="1" t="str">
        <f>IF(R24="","",IF(S24="C",IF(H24&gt;=R24,"OK","FAIL"),IF(S24="F",IF(H24&lt;=R24,"OK","FAIL"),IF(S24="D",IF(AND(H24&lt;=R24,H24&gt;=U24),"OK","FAIL"),IF(U24="",IF(H24=S24,"OK","FAIL"),IF(U24="9U",IF(H24&lt;=9,"OK","FAIL"),IF(U24="UP",IF(H24&gt;=15,"OK","FAIL"),IF(U24="DN",IF(H24&lt;=7,"OK","FAIL")))))))))</f>
        <v/>
      </c>
      <c r="U24" t="str">
        <f>IF(R24="15U","UP",IF(R24="7D","DN",IF(R24="9U","9U",IF(S24="D",10,""))))</f>
        <v/>
      </c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</row>
    <row r="25" spans="1:260" ht="16.5" customHeight="1">
      <c r="A25" s="185"/>
      <c r="B25" s="35"/>
      <c r="C25" s="17"/>
      <c r="D25" s="19"/>
      <c r="E25" s="37"/>
      <c r="F25" s="107" t="str">
        <f>IF(E25="","",VLOOKUP(E25,報名總表及收費!$I$29:$L$110,4))</f>
        <v/>
      </c>
      <c r="G25" s="69"/>
      <c r="H25" s="72" t="str">
        <f t="shared" ca="1" si="0"/>
        <v/>
      </c>
      <c r="I25" s="138"/>
      <c r="J25" s="64" t="str">
        <f t="shared" ref="J25:J88" si="1">IF(E25="","",IF(((VLOOKUP(E25,$L$24:$Q$66,5))&lt;G25),"報項時間慢於達標時間",""))&amp;IF(T25="FAIL","    運動員錯組別","")&amp;IF(E25="","",IF(MOD(E25,2)=1,""," 項目編號為男子組"))</f>
        <v/>
      </c>
      <c r="K25" s="6"/>
      <c r="L25" s="15">
        <v>3</v>
      </c>
      <c r="M25" s="15">
        <f>COUNTIFS($E$24:$E$159,"=3")</f>
        <v>0</v>
      </c>
      <c r="N25" t="str">
        <f t="shared" ref="N25:N63" si="2">IF(M25&gt;$O$2, L25, "OK")</f>
        <v>OK</v>
      </c>
      <c r="O25" t="str">
        <f>VLOOKUP(L25,報名總表及收費!$I$30:$K$118,2)</f>
        <v>D</v>
      </c>
      <c r="P25" s="1">
        <f>IF(VLOOKUP(L25,報名總表及收費!$I$30:$K$118,3)=0,"",VLOOKUP(L25,報名總表及收費!$I$30:$K$118,3,FALSE))</f>
        <v>13600</v>
      </c>
      <c r="Q25" s="68">
        <f t="shared" ref="Q25:Q88" ca="1" si="3">IF(O25="D",YEAR(NOW())-$P$5,IF(O25="C",YEAR(NOW())-$O$5,IF(O25="F",YEAR(NOW())-$Q$5,IF(O25=0,"",O25))))</f>
        <v>14</v>
      </c>
      <c r="R25" s="6" t="str">
        <f t="shared" ref="R25:R88" si="4">IF(E25=0,"",IF(MOD(E25,2)=0,"",VLOOKUP(E25,$L$23:$Q$63,6,FALSE)))</f>
        <v/>
      </c>
      <c r="S25" s="6" t="str">
        <f t="shared" ref="S25:S88" si="5">IF(D25=0,"",VLOOKUP(E25,$L$24:$Q$63,4,FALSE))</f>
        <v/>
      </c>
      <c r="T25" s="1" t="str">
        <f t="shared" ref="T25:T88" si="6">IF(R25="","",IF(S25="C",IF(H25&gt;=R25,"OK","FAIL"),IF(S25="F",IF(H25&lt;=R25,"OK","FAIL"),IF(S25="D",IF(AND(H25&lt;=R25,H25&gt;=U25),"OK","FAIL"),IF(U25="",IF(H25=S25,"OK","FAIL"),IF(U25="9U",IF(H25&lt;=9,"OK","FAIL"),IF(U25="UP",IF(H25&gt;=15,"OK","FAIL"),IF(U25="DN",IF(H25&lt;=7,"OK","FAIL")))))))))</f>
        <v/>
      </c>
      <c r="U25" t="str">
        <f t="shared" ref="U25:U88" si="7">IF(R25="15U","UP",IF(R25="7D","DN",IF(R25="9U","9U",IF(S25="D",10,""))))</f>
        <v/>
      </c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</row>
    <row r="26" spans="1:260" ht="16.5" customHeight="1">
      <c r="A26" s="185"/>
      <c r="B26" s="35"/>
      <c r="C26" s="17"/>
      <c r="D26" s="19"/>
      <c r="E26" s="37"/>
      <c r="F26" s="107" t="str">
        <f>IF(E26="","",VLOOKUP(E26,報名總表及收費!$I$29:$L$110,4))</f>
        <v/>
      </c>
      <c r="G26" s="69"/>
      <c r="H26" s="72" t="str">
        <f t="shared" ca="1" si="0"/>
        <v/>
      </c>
      <c r="I26" s="138"/>
      <c r="J26" s="64" t="str">
        <f t="shared" si="1"/>
        <v/>
      </c>
      <c r="K26" s="6"/>
      <c r="L26" s="15">
        <v>5</v>
      </c>
      <c r="M26" s="15">
        <f>COUNTIFS($E$24:$E$159,"=5")</f>
        <v>0</v>
      </c>
      <c r="N26" t="str">
        <f t="shared" si="2"/>
        <v>OK</v>
      </c>
      <c r="O26" t="str">
        <f>VLOOKUP(L26,報名總表及收費!$I$30:$K$118,2)</f>
        <v>C</v>
      </c>
      <c r="P26" s="1">
        <f>IF(VLOOKUP(L26,報名總表及收費!$I$30:$K$118,3)=0,"",VLOOKUP(L26,報名總表及收費!$I$30:$K$118,3,FALSE))</f>
        <v>4200</v>
      </c>
      <c r="Q26" s="68">
        <f t="shared" ca="1" si="3"/>
        <v>15</v>
      </c>
      <c r="R26" s="6" t="str">
        <f t="shared" si="4"/>
        <v/>
      </c>
      <c r="S26" s="6" t="str">
        <f t="shared" si="5"/>
        <v/>
      </c>
      <c r="T26" s="1" t="str">
        <f t="shared" si="6"/>
        <v/>
      </c>
      <c r="U26" t="str">
        <f t="shared" si="7"/>
        <v/>
      </c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</row>
    <row r="27" spans="1:260" ht="16.5" customHeight="1">
      <c r="A27" s="186"/>
      <c r="B27" s="35"/>
      <c r="C27" s="35"/>
      <c r="D27" s="18"/>
      <c r="E27" s="37"/>
      <c r="F27" s="107" t="str">
        <f>IF(E27="","",VLOOKUP(E27,報名總表及收費!$I$29:$L$110,4))</f>
        <v/>
      </c>
      <c r="G27" s="69"/>
      <c r="H27" s="72" t="str">
        <f t="shared" ca="1" si="0"/>
        <v/>
      </c>
      <c r="I27" s="138"/>
      <c r="J27" s="64" t="str">
        <f t="shared" si="1"/>
        <v/>
      </c>
      <c r="K27" s="6"/>
      <c r="L27" s="15">
        <v>7</v>
      </c>
      <c r="M27" s="15">
        <f>COUNTIFS($E$24:$E$159,"=7")</f>
        <v>0</v>
      </c>
      <c r="N27" t="str">
        <f t="shared" si="2"/>
        <v>OK</v>
      </c>
      <c r="O27" t="str">
        <f>VLOOKUP(L27,報名總表及收費!$I$30:$K$118,2)</f>
        <v>D</v>
      </c>
      <c r="P27" s="1">
        <f>IF(VLOOKUP(L27,報名總表及收費!$I$30:$K$118,3)=0,"",VLOOKUP(L27,報名總表及收費!$I$30:$K$118,3,FALSE))</f>
        <v>4500</v>
      </c>
      <c r="Q27" s="68">
        <f t="shared" ca="1" si="3"/>
        <v>14</v>
      </c>
      <c r="R27" s="6" t="str">
        <f t="shared" si="4"/>
        <v/>
      </c>
      <c r="S27" s="6" t="str">
        <f t="shared" si="5"/>
        <v/>
      </c>
      <c r="T27" s="1" t="str">
        <f t="shared" si="6"/>
        <v/>
      </c>
      <c r="U27" t="str">
        <f t="shared" si="7"/>
        <v/>
      </c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</row>
    <row r="28" spans="1:260" ht="16.5" customHeight="1">
      <c r="A28" s="181" t="s">
        <v>27</v>
      </c>
      <c r="B28" s="123"/>
      <c r="C28" s="20"/>
      <c r="D28" s="123"/>
      <c r="E28" s="38"/>
      <c r="F28" s="108" t="str">
        <f>IF(E28="","",VLOOKUP(E28,報名總表及收費!$I$29:$L$110,4))</f>
        <v/>
      </c>
      <c r="G28" s="73"/>
      <c r="H28" s="75" t="str">
        <f t="shared" ca="1" si="0"/>
        <v/>
      </c>
      <c r="I28" s="139"/>
      <c r="J28" s="74" t="str">
        <f t="shared" si="1"/>
        <v/>
      </c>
      <c r="K28" s="6"/>
      <c r="L28" s="15">
        <v>9</v>
      </c>
      <c r="M28" s="15">
        <f>COUNTIFS($E$24:$E$159,"=9")</f>
        <v>0</v>
      </c>
      <c r="N28" t="str">
        <f t="shared" si="2"/>
        <v>OK</v>
      </c>
      <c r="O28" t="str">
        <f>VLOOKUP(L28,報名總表及收費!$I$30:$K$118,2)</f>
        <v>F</v>
      </c>
      <c r="P28" s="1">
        <f>IF(VLOOKUP(L28,報名總表及收費!$I$30:$K$118,3)=0,"",VLOOKUP(L28,報名總表及收費!$I$30:$K$118,3,FALSE))</f>
        <v>5500</v>
      </c>
      <c r="Q28" s="68">
        <f t="shared" ca="1" si="3"/>
        <v>9</v>
      </c>
      <c r="R28" s="6" t="str">
        <f t="shared" si="4"/>
        <v/>
      </c>
      <c r="S28" s="6" t="str">
        <f t="shared" si="5"/>
        <v/>
      </c>
      <c r="T28" s="1" t="str">
        <f t="shared" si="6"/>
        <v/>
      </c>
      <c r="U28" t="str">
        <f t="shared" si="7"/>
        <v/>
      </c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</row>
    <row r="29" spans="1:260" ht="16.5" customHeight="1">
      <c r="A29" s="182"/>
      <c r="B29" s="20"/>
      <c r="C29" s="20"/>
      <c r="D29" s="20"/>
      <c r="E29" s="38"/>
      <c r="F29" s="108" t="str">
        <f>IF(E29="","",VLOOKUP(E29,報名總表及收費!$I$29:$L$110,4))</f>
        <v/>
      </c>
      <c r="G29" s="73"/>
      <c r="H29" s="75" t="str">
        <f t="shared" ca="1" si="0"/>
        <v/>
      </c>
      <c r="I29" s="139"/>
      <c r="J29" s="74" t="str">
        <f t="shared" si="1"/>
        <v/>
      </c>
      <c r="K29" s="6"/>
      <c r="L29" s="15">
        <v>11</v>
      </c>
      <c r="M29" s="15">
        <f>COUNTIFS($E$24:$E$159,"=11")</f>
        <v>0</v>
      </c>
      <c r="N29" t="str">
        <f t="shared" si="2"/>
        <v>OK</v>
      </c>
      <c r="O29" t="str">
        <f>VLOOKUP(L29,報名總表及收費!$I$30:$K$118,2)</f>
        <v>C</v>
      </c>
      <c r="P29" s="1">
        <f>IF(VLOOKUP(L29,報名總表及收費!$I$30:$K$118,3)=0,"",VLOOKUP(L29,報名總表及收費!$I$30:$K$118,3,FALSE))</f>
        <v>13200</v>
      </c>
      <c r="Q29" s="68">
        <f t="shared" ca="1" si="3"/>
        <v>15</v>
      </c>
      <c r="R29" s="6" t="str">
        <f t="shared" si="4"/>
        <v/>
      </c>
      <c r="S29" s="6" t="str">
        <f t="shared" si="5"/>
        <v/>
      </c>
      <c r="T29" s="1" t="str">
        <f t="shared" si="6"/>
        <v/>
      </c>
      <c r="U29" t="str">
        <f t="shared" si="7"/>
        <v/>
      </c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</row>
    <row r="30" spans="1:260" ht="16.5" customHeight="1">
      <c r="A30" s="182"/>
      <c r="B30" s="20"/>
      <c r="C30" s="20"/>
      <c r="D30" s="20"/>
      <c r="E30" s="38"/>
      <c r="F30" s="108" t="str">
        <f>IF(E30="","",VLOOKUP(E30,報名總表及收費!$I$29:$L$110,4))</f>
        <v/>
      </c>
      <c r="G30" s="73"/>
      <c r="H30" s="75" t="str">
        <f t="shared" ca="1" si="0"/>
        <v/>
      </c>
      <c r="I30" s="139"/>
      <c r="J30" s="74" t="str">
        <f t="shared" si="1"/>
        <v/>
      </c>
      <c r="K30" s="6"/>
      <c r="L30" s="15">
        <v>13</v>
      </c>
      <c r="M30" s="15">
        <f>COUNTIFS($E$24:$E$159,"=13")</f>
        <v>0</v>
      </c>
      <c r="N30" t="str">
        <f t="shared" si="2"/>
        <v>OK</v>
      </c>
      <c r="O30" t="str">
        <f>VLOOKUP(L30,報名總表及收費!$I$30:$K$118,2)</f>
        <v>D</v>
      </c>
      <c r="P30" s="1">
        <f>IF(VLOOKUP(L30,報名總表及收費!$I$30:$K$118,3)=0,"",VLOOKUP(L30,報名總表及收費!$I$30:$K$118,3,FALSE))</f>
        <v>13400</v>
      </c>
      <c r="Q30" s="68">
        <f t="shared" ca="1" si="3"/>
        <v>14</v>
      </c>
      <c r="R30" s="6" t="str">
        <f t="shared" si="4"/>
        <v/>
      </c>
      <c r="S30" s="6" t="str">
        <f t="shared" si="5"/>
        <v/>
      </c>
      <c r="T30" s="1" t="str">
        <f t="shared" si="6"/>
        <v/>
      </c>
      <c r="U30" t="str">
        <f t="shared" si="7"/>
        <v/>
      </c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</row>
    <row r="31" spans="1:260" ht="16.5" customHeight="1">
      <c r="A31" s="183"/>
      <c r="B31" s="20"/>
      <c r="C31" s="20"/>
      <c r="D31" s="20"/>
      <c r="E31" s="38"/>
      <c r="F31" s="108" t="str">
        <f>IF(E31="","",VLOOKUP(E31,報名總表及收費!$I$29:$L$110,4))</f>
        <v/>
      </c>
      <c r="G31" s="73"/>
      <c r="H31" s="75" t="str">
        <f t="shared" ca="1" si="0"/>
        <v/>
      </c>
      <c r="I31" s="139"/>
      <c r="J31" s="74" t="str">
        <f t="shared" si="1"/>
        <v/>
      </c>
      <c r="K31" s="6"/>
      <c r="L31" s="15">
        <v>15</v>
      </c>
      <c r="M31" s="15">
        <f>COUNTIFS($E$24:$E$159,"=15")</f>
        <v>0</v>
      </c>
      <c r="N31" t="str">
        <f t="shared" si="2"/>
        <v>OK</v>
      </c>
      <c r="O31" t="str">
        <f>VLOOKUP(L31,報名總表及收費!$I$30:$K$118,2)</f>
        <v>C</v>
      </c>
      <c r="P31" s="1">
        <f>IF(VLOOKUP(L31,報名總表及收費!$I$30:$K$118,3)=0,"",VLOOKUP(L31,報名總表及收費!$I$30:$K$118,3,FALSE))</f>
        <v>3600</v>
      </c>
      <c r="Q31" s="68">
        <f t="shared" ca="1" si="3"/>
        <v>15</v>
      </c>
      <c r="R31" s="6" t="str">
        <f t="shared" si="4"/>
        <v/>
      </c>
      <c r="S31" s="6" t="str">
        <f t="shared" si="5"/>
        <v/>
      </c>
      <c r="T31" s="1" t="str">
        <f t="shared" si="6"/>
        <v/>
      </c>
      <c r="U31" t="str">
        <f t="shared" si="7"/>
        <v/>
      </c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</row>
    <row r="32" spans="1:260" ht="16.5" customHeight="1">
      <c r="A32" s="184" t="s">
        <v>28</v>
      </c>
      <c r="B32" s="19"/>
      <c r="C32" s="19"/>
      <c r="D32" s="19"/>
      <c r="E32" s="37"/>
      <c r="F32" s="107" t="str">
        <f>IF(E32="","",VLOOKUP(E32,報名總表及收費!$I$29:$L$110,4))</f>
        <v/>
      </c>
      <c r="G32" s="69"/>
      <c r="H32" s="72" t="str">
        <f t="shared" ca="1" si="0"/>
        <v/>
      </c>
      <c r="I32" s="138"/>
      <c r="J32" s="64" t="str">
        <f t="shared" si="1"/>
        <v/>
      </c>
      <c r="K32" s="6"/>
      <c r="L32" s="15">
        <v>17</v>
      </c>
      <c r="M32" s="15">
        <f>COUNTIFS($E$24:$E$159,"=17")</f>
        <v>0</v>
      </c>
      <c r="N32" t="str">
        <f t="shared" si="2"/>
        <v>OK</v>
      </c>
      <c r="O32" t="str">
        <f>VLOOKUP(L32,報名總表及收費!$I$30:$K$118,2)</f>
        <v>D</v>
      </c>
      <c r="P32" s="1">
        <f>IF(VLOOKUP(L32,報名總表及收費!$I$30:$K$118,3)=0,"",VLOOKUP(L32,報名總表及收費!$I$30:$K$118,3,FALSE))</f>
        <v>3900</v>
      </c>
      <c r="Q32" s="68">
        <f t="shared" ca="1" si="3"/>
        <v>14</v>
      </c>
      <c r="R32" s="6" t="str">
        <f t="shared" si="4"/>
        <v/>
      </c>
      <c r="S32" s="6" t="str">
        <f t="shared" si="5"/>
        <v/>
      </c>
      <c r="T32" s="1" t="str">
        <f t="shared" si="6"/>
        <v/>
      </c>
      <c r="U32" t="str">
        <f t="shared" si="7"/>
        <v/>
      </c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</row>
    <row r="33" spans="1:260" ht="16.5" customHeight="1">
      <c r="A33" s="185"/>
      <c r="B33" s="19"/>
      <c r="C33" s="17"/>
      <c r="D33" s="18"/>
      <c r="E33" s="37"/>
      <c r="F33" s="107" t="str">
        <f>IF(E33="","",VLOOKUP(E33,報名總表及收費!$I$29:$L$110,4))</f>
        <v/>
      </c>
      <c r="G33" s="69"/>
      <c r="H33" s="72" t="str">
        <f t="shared" ca="1" si="0"/>
        <v/>
      </c>
      <c r="I33" s="138"/>
      <c r="J33" s="64" t="str">
        <f t="shared" si="1"/>
        <v/>
      </c>
      <c r="K33" s="6"/>
      <c r="L33" s="15">
        <v>19</v>
      </c>
      <c r="M33" s="15">
        <f>COUNTIFS($E$24:$E$159,"=19")</f>
        <v>0</v>
      </c>
      <c r="N33" t="str">
        <f t="shared" si="2"/>
        <v>OK</v>
      </c>
      <c r="O33" t="str">
        <f>VLOOKUP(L33,報名總表及收費!$I$30:$K$118,2)</f>
        <v>F</v>
      </c>
      <c r="P33" s="1">
        <f>IF(VLOOKUP(L33,報名總表及收費!$I$30:$K$118,3)=0,"",VLOOKUP(L33,報名總表及收費!$I$30:$K$118,3,FALSE))</f>
        <v>4300</v>
      </c>
      <c r="Q33" s="68">
        <f t="shared" ca="1" si="3"/>
        <v>9</v>
      </c>
      <c r="R33" s="6" t="str">
        <f t="shared" si="4"/>
        <v/>
      </c>
      <c r="S33" s="6" t="str">
        <f t="shared" si="5"/>
        <v/>
      </c>
      <c r="T33" s="1" t="str">
        <f t="shared" si="6"/>
        <v/>
      </c>
      <c r="U33" t="str">
        <f t="shared" si="7"/>
        <v/>
      </c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</row>
    <row r="34" spans="1:260" ht="16.5" customHeight="1">
      <c r="A34" s="185"/>
      <c r="B34" s="19"/>
      <c r="C34" s="19"/>
      <c r="D34" s="19"/>
      <c r="E34" s="37"/>
      <c r="F34" s="107" t="str">
        <f>IF(E34="","",VLOOKUP(E34,報名總表及收費!$I$29:$L$110,4))</f>
        <v/>
      </c>
      <c r="G34" s="69"/>
      <c r="H34" s="72" t="str">
        <f t="shared" ca="1" si="0"/>
        <v/>
      </c>
      <c r="I34" s="138"/>
      <c r="J34" s="64" t="str">
        <f t="shared" si="1"/>
        <v/>
      </c>
      <c r="K34" s="6"/>
      <c r="L34" s="15">
        <v>21</v>
      </c>
      <c r="M34" s="15">
        <f>COUNTIFS($E$24:$E$159,"=21")</f>
        <v>0</v>
      </c>
      <c r="N34" t="str">
        <f t="shared" si="2"/>
        <v>OK</v>
      </c>
      <c r="O34" t="str">
        <f>VLOOKUP(L34,報名總表及收費!$I$30:$K$118,2)</f>
        <v>C</v>
      </c>
      <c r="P34" s="1" t="str">
        <f>IF(VLOOKUP(L34,報名總表及收費!$I$30:$K$118,3)=0,"",VLOOKUP(L34,報名總表及收費!$I$30:$K$118,3,FALSE))</f>
        <v/>
      </c>
      <c r="Q34" s="68">
        <f t="shared" ca="1" si="3"/>
        <v>15</v>
      </c>
      <c r="R34" s="6" t="str">
        <f t="shared" si="4"/>
        <v/>
      </c>
      <c r="S34" s="6" t="str">
        <f t="shared" si="5"/>
        <v/>
      </c>
      <c r="T34" s="1" t="str">
        <f t="shared" si="6"/>
        <v/>
      </c>
      <c r="U34" t="str">
        <f t="shared" si="7"/>
        <v/>
      </c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</row>
    <row r="35" spans="1:260" ht="16.5" customHeight="1">
      <c r="A35" s="186"/>
      <c r="B35" s="19"/>
      <c r="C35" s="19"/>
      <c r="D35" s="19"/>
      <c r="E35" s="37"/>
      <c r="F35" s="107" t="str">
        <f>IF(E35="","",VLOOKUP(E35,報名總表及收費!$I$29:$L$110,4))</f>
        <v/>
      </c>
      <c r="G35" s="69"/>
      <c r="H35" s="72" t="str">
        <f t="shared" ca="1" si="0"/>
        <v/>
      </c>
      <c r="I35" s="138"/>
      <c r="J35" s="64" t="str">
        <f t="shared" si="1"/>
        <v/>
      </c>
      <c r="K35" s="6"/>
      <c r="L35" s="15">
        <v>23</v>
      </c>
      <c r="M35" s="15">
        <f>COUNTIFS($E$24:$E$159,"=23")</f>
        <v>0</v>
      </c>
      <c r="N35" t="str">
        <f t="shared" si="2"/>
        <v>OK</v>
      </c>
      <c r="O35" t="str">
        <f>VLOOKUP(L35,報名總表及收費!$I$30:$K$118,2)</f>
        <v>D</v>
      </c>
      <c r="P35" s="1" t="str">
        <f>IF(VLOOKUP(L35,報名總表及收費!$I$30:$K$118,3)=0,"",VLOOKUP(L35,報名總表及收費!$I$30:$K$118,3,FALSE))</f>
        <v/>
      </c>
      <c r="Q35" s="68">
        <f t="shared" ca="1" si="3"/>
        <v>14</v>
      </c>
      <c r="R35" s="6" t="str">
        <f t="shared" si="4"/>
        <v/>
      </c>
      <c r="S35" s="6" t="str">
        <f t="shared" si="5"/>
        <v/>
      </c>
      <c r="T35" s="1" t="str">
        <f t="shared" si="6"/>
        <v/>
      </c>
      <c r="U35" t="str">
        <f t="shared" si="7"/>
        <v/>
      </c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</row>
    <row r="36" spans="1:260" ht="16.5" customHeight="1">
      <c r="A36" s="181" t="s">
        <v>29</v>
      </c>
      <c r="B36" s="21"/>
      <c r="C36" s="21"/>
      <c r="D36" s="22"/>
      <c r="E36" s="38"/>
      <c r="F36" s="108" t="str">
        <f>IF(E36="","",VLOOKUP(E36,報名總表及收費!$I$29:$L$110,4))</f>
        <v/>
      </c>
      <c r="G36" s="73"/>
      <c r="H36" s="75" t="str">
        <f t="shared" ca="1" si="0"/>
        <v/>
      </c>
      <c r="I36" s="139"/>
      <c r="J36" s="74" t="str">
        <f t="shared" si="1"/>
        <v/>
      </c>
      <c r="K36" s="6"/>
      <c r="L36" s="15">
        <v>25</v>
      </c>
      <c r="M36" s="15">
        <f>COUNTIFS($E$24:$E$159,"=25")</f>
        <v>0</v>
      </c>
      <c r="N36" t="str">
        <f t="shared" si="2"/>
        <v>OK</v>
      </c>
      <c r="O36" t="str">
        <f>VLOOKUP(L36,報名總表及收費!$I$30:$K$118,2)</f>
        <v>F</v>
      </c>
      <c r="P36" s="1" t="str">
        <f>IF(VLOOKUP(L36,報名總表及收費!$I$30:$K$118,3)=0,"",VLOOKUP(L36,報名總表及收費!$I$30:$K$118,3,FALSE))</f>
        <v/>
      </c>
      <c r="Q36" s="68">
        <f t="shared" ca="1" si="3"/>
        <v>9</v>
      </c>
      <c r="R36" s="6" t="str">
        <f t="shared" si="4"/>
        <v/>
      </c>
      <c r="S36" s="6" t="str">
        <f t="shared" si="5"/>
        <v/>
      </c>
      <c r="T36" s="1" t="str">
        <f t="shared" si="6"/>
        <v/>
      </c>
      <c r="U36" t="str">
        <f t="shared" si="7"/>
        <v/>
      </c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</row>
    <row r="37" spans="1:260" ht="16.5" customHeight="1">
      <c r="A37" s="182"/>
      <c r="B37" s="21"/>
      <c r="C37" s="20"/>
      <c r="D37" s="20"/>
      <c r="E37" s="38"/>
      <c r="F37" s="108" t="str">
        <f>IF(E37="","",VLOOKUP(E37,報名總表及收費!$I$29:$L$110,4))</f>
        <v/>
      </c>
      <c r="G37" s="73"/>
      <c r="H37" s="75" t="str">
        <f t="shared" ca="1" si="0"/>
        <v/>
      </c>
      <c r="I37" s="139"/>
      <c r="J37" s="74" t="str">
        <f t="shared" si="1"/>
        <v/>
      </c>
      <c r="K37" s="6"/>
      <c r="L37" s="15">
        <v>27</v>
      </c>
      <c r="M37" s="15">
        <f>COUNTIFS($E$24:$E$159,"=27")</f>
        <v>0</v>
      </c>
      <c r="N37" t="str">
        <f t="shared" si="2"/>
        <v>OK</v>
      </c>
      <c r="O37" t="str">
        <f>VLOOKUP(L37,報名總表及收費!$I$30:$K$118,2)</f>
        <v>C</v>
      </c>
      <c r="P37" s="1">
        <f>IF(VLOOKUP(L37,報名總表及收費!$I$30:$K$118,3)=0,"",VLOOKUP(L37,報名總表及收費!$I$30:$K$118,3,FALSE))</f>
        <v>13300</v>
      </c>
      <c r="Q37" s="68">
        <f t="shared" ca="1" si="3"/>
        <v>15</v>
      </c>
      <c r="R37" s="6" t="str">
        <f t="shared" si="4"/>
        <v/>
      </c>
      <c r="S37" s="6" t="str">
        <f t="shared" si="5"/>
        <v/>
      </c>
      <c r="T37" s="1" t="str">
        <f t="shared" si="6"/>
        <v/>
      </c>
      <c r="U37" t="str">
        <f t="shared" si="7"/>
        <v/>
      </c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</row>
    <row r="38" spans="1:260" ht="16.5" customHeight="1">
      <c r="A38" s="182"/>
      <c r="B38" s="21"/>
      <c r="C38" s="20"/>
      <c r="D38" s="20"/>
      <c r="E38" s="38"/>
      <c r="F38" s="108" t="str">
        <f>IF(E38="","",VLOOKUP(E38,報名總表及收費!$I$29:$L$110,4))</f>
        <v/>
      </c>
      <c r="G38" s="73"/>
      <c r="H38" s="75" t="str">
        <f t="shared" ca="1" si="0"/>
        <v/>
      </c>
      <c r="I38" s="139"/>
      <c r="J38" s="74" t="str">
        <f t="shared" si="1"/>
        <v/>
      </c>
      <c r="K38" s="6"/>
      <c r="L38" s="15">
        <v>29</v>
      </c>
      <c r="M38" s="15">
        <f>COUNTIFS($E$24:$E$159,"=29")</f>
        <v>0</v>
      </c>
      <c r="N38" t="str">
        <f t="shared" si="2"/>
        <v>OK</v>
      </c>
      <c r="O38" t="str">
        <f>VLOOKUP(L38,報名總表及收費!$I$30:$K$118,2)</f>
        <v>D</v>
      </c>
      <c r="P38" s="1">
        <f>IF(VLOOKUP(L38,報名總表及收費!$I$30:$K$118,3)=0,"",VLOOKUP(L38,報名總表及收費!$I$30:$K$118,3,FALSE))</f>
        <v>13700</v>
      </c>
      <c r="Q38" s="68">
        <f t="shared" ca="1" si="3"/>
        <v>14</v>
      </c>
      <c r="R38" s="6" t="str">
        <f t="shared" si="4"/>
        <v/>
      </c>
      <c r="S38" s="6" t="str">
        <f t="shared" si="5"/>
        <v/>
      </c>
      <c r="T38" s="1" t="str">
        <f t="shared" si="6"/>
        <v/>
      </c>
      <c r="U38" t="str">
        <f t="shared" si="7"/>
        <v/>
      </c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</row>
    <row r="39" spans="1:260" ht="16.5" customHeight="1">
      <c r="A39" s="183"/>
      <c r="B39" s="21"/>
      <c r="C39" s="20"/>
      <c r="D39" s="20"/>
      <c r="E39" s="38"/>
      <c r="F39" s="108" t="str">
        <f>IF(E39="","",VLOOKUP(E39,報名總表及收費!$I$29:$L$110,4))</f>
        <v/>
      </c>
      <c r="G39" s="73"/>
      <c r="H39" s="75" t="str">
        <f t="shared" ca="1" si="0"/>
        <v/>
      </c>
      <c r="I39" s="139"/>
      <c r="J39" s="74" t="str">
        <f t="shared" si="1"/>
        <v/>
      </c>
      <c r="K39" s="6"/>
      <c r="L39" s="15">
        <v>31</v>
      </c>
      <c r="M39" s="15">
        <f>COUNTIFS($E$24:$E$159,"=31")</f>
        <v>0</v>
      </c>
      <c r="N39" t="str">
        <f t="shared" si="2"/>
        <v>OK</v>
      </c>
      <c r="O39" t="str">
        <f>VLOOKUP(L39,報名總表及收費!$I$30:$K$118,2)</f>
        <v>C</v>
      </c>
      <c r="P39" s="1">
        <f>IF(VLOOKUP(L39,報名總表及收費!$I$30:$K$118,3)=0,"",VLOOKUP(L39,報名總表及收費!$I$30:$K$118,3,FALSE))</f>
        <v>4000</v>
      </c>
      <c r="Q39" s="68">
        <f t="shared" ca="1" si="3"/>
        <v>15</v>
      </c>
      <c r="R39" s="6" t="str">
        <f t="shared" si="4"/>
        <v/>
      </c>
      <c r="S39" s="6" t="str">
        <f t="shared" si="5"/>
        <v/>
      </c>
      <c r="T39" s="1" t="str">
        <f t="shared" si="6"/>
        <v/>
      </c>
      <c r="U39" t="str">
        <f t="shared" si="7"/>
        <v/>
      </c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</row>
    <row r="40" spans="1:260" ht="16.5" customHeight="1">
      <c r="A40" s="184" t="s">
        <v>30</v>
      </c>
      <c r="B40" s="19"/>
      <c r="C40" s="19"/>
      <c r="D40" s="19"/>
      <c r="E40" s="37"/>
      <c r="F40" s="107" t="str">
        <f>IF(E40="","",VLOOKUP(E40,報名總表及收費!$I$29:$L$110,4))</f>
        <v/>
      </c>
      <c r="G40" s="69"/>
      <c r="H40" s="72" t="str">
        <f t="shared" ca="1" si="0"/>
        <v/>
      </c>
      <c r="I40" s="138"/>
      <c r="J40" s="64" t="str">
        <f t="shared" si="1"/>
        <v/>
      </c>
      <c r="K40" s="6"/>
      <c r="L40" s="15">
        <v>33</v>
      </c>
      <c r="M40" s="15">
        <f>COUNTIFS($E$24:$E$159,"=33")</f>
        <v>0</v>
      </c>
      <c r="N40" t="str">
        <f t="shared" si="2"/>
        <v>OK</v>
      </c>
      <c r="O40" t="str">
        <f>VLOOKUP(L40,報名總表及收費!$I$30:$K$118,2)</f>
        <v>D</v>
      </c>
      <c r="P40" s="1">
        <f>IF(VLOOKUP(L40,報名總表及收費!$I$30:$K$118,3)=0,"",VLOOKUP(L40,報名總表及收費!$I$30:$K$118,3,FALSE))</f>
        <v>4300</v>
      </c>
      <c r="Q40" s="68">
        <f t="shared" ca="1" si="3"/>
        <v>14</v>
      </c>
      <c r="R40" s="6" t="str">
        <f t="shared" si="4"/>
        <v/>
      </c>
      <c r="S40" s="6" t="str">
        <f t="shared" si="5"/>
        <v/>
      </c>
      <c r="T40" s="1" t="str">
        <f t="shared" si="6"/>
        <v/>
      </c>
      <c r="U40" t="str">
        <f t="shared" si="7"/>
        <v/>
      </c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</row>
    <row r="41" spans="1:260" ht="16.5" customHeight="1">
      <c r="A41" s="185"/>
      <c r="B41" s="19"/>
      <c r="C41" s="19"/>
      <c r="D41" s="19"/>
      <c r="E41" s="37"/>
      <c r="F41" s="107" t="str">
        <f>IF(E41="","",VLOOKUP(E41,報名總表及收費!$I$29:$L$110,4))</f>
        <v/>
      </c>
      <c r="G41" s="69"/>
      <c r="H41" s="72" t="str">
        <f t="shared" ca="1" si="0"/>
        <v/>
      </c>
      <c r="I41" s="138"/>
      <c r="J41" s="64" t="str">
        <f t="shared" si="1"/>
        <v/>
      </c>
      <c r="K41" s="6"/>
      <c r="L41" s="15">
        <v>35</v>
      </c>
      <c r="M41" s="15">
        <f>COUNTIFS($E$24:$E$159,"=35")</f>
        <v>0</v>
      </c>
      <c r="N41" t="str">
        <f t="shared" si="2"/>
        <v>OK</v>
      </c>
      <c r="O41" t="str">
        <f>VLOOKUP(L41,報名總表及收費!$I$30:$K$118,2)</f>
        <v>F</v>
      </c>
      <c r="P41" s="1">
        <f>IF(VLOOKUP(L41,報名總表及收費!$I$30:$K$118,3)=0,"",VLOOKUP(L41,報名總表及收費!$I$30:$K$118,3,FALSE))</f>
        <v>5000</v>
      </c>
      <c r="Q41" s="68">
        <f t="shared" ca="1" si="3"/>
        <v>9</v>
      </c>
      <c r="R41" s="6" t="str">
        <f t="shared" si="4"/>
        <v/>
      </c>
      <c r="S41" s="6" t="str">
        <f t="shared" si="5"/>
        <v/>
      </c>
      <c r="T41" s="1" t="str">
        <f t="shared" si="6"/>
        <v/>
      </c>
      <c r="U41" t="str">
        <f t="shared" si="7"/>
        <v/>
      </c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</row>
    <row r="42" spans="1:260" ht="16.5" customHeight="1">
      <c r="A42" s="185"/>
      <c r="B42" s="19"/>
      <c r="C42" s="19"/>
      <c r="D42" s="19"/>
      <c r="E42" s="37"/>
      <c r="F42" s="107" t="str">
        <f>IF(E42="","",VLOOKUP(E42,報名總表及收費!$I$29:$L$110,4))</f>
        <v/>
      </c>
      <c r="G42" s="69"/>
      <c r="H42" s="72" t="str">
        <f t="shared" ca="1" si="0"/>
        <v/>
      </c>
      <c r="I42" s="138"/>
      <c r="J42" s="64" t="str">
        <f t="shared" si="1"/>
        <v/>
      </c>
      <c r="K42" s="6"/>
      <c r="L42" s="15">
        <v>37</v>
      </c>
      <c r="M42" s="15">
        <f>COUNTIFS($E$24:$E$159,"=37")</f>
        <v>0</v>
      </c>
      <c r="N42" t="str">
        <f t="shared" si="2"/>
        <v>OK</v>
      </c>
      <c r="O42" t="str">
        <f>VLOOKUP(L42,報名總表及收費!$I$30:$K$118,2)</f>
        <v>C</v>
      </c>
      <c r="P42" s="1">
        <f>IF(VLOOKUP(L42,報名總表及收費!$I$30:$K$118,3)=0,"",VLOOKUP(L42,報名總表及收費!$I$30:$K$118,3,FALSE))</f>
        <v>13700</v>
      </c>
      <c r="Q42" s="68">
        <f t="shared" ca="1" si="3"/>
        <v>15</v>
      </c>
      <c r="R42" s="6" t="str">
        <f t="shared" si="4"/>
        <v/>
      </c>
      <c r="S42" s="6" t="str">
        <f t="shared" si="5"/>
        <v/>
      </c>
      <c r="T42" s="1" t="str">
        <f t="shared" si="6"/>
        <v/>
      </c>
      <c r="U42" t="str">
        <f t="shared" si="7"/>
        <v/>
      </c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</row>
    <row r="43" spans="1:260" ht="16.5" customHeight="1">
      <c r="A43" s="186"/>
      <c r="B43" s="19"/>
      <c r="C43" s="19"/>
      <c r="D43" s="19"/>
      <c r="E43" s="37"/>
      <c r="F43" s="107" t="str">
        <f>IF(E43="","",VLOOKUP(E43,報名總表及收費!$I$29:$L$110,4))</f>
        <v/>
      </c>
      <c r="G43" s="69"/>
      <c r="H43" s="72" t="str">
        <f t="shared" ca="1" si="0"/>
        <v/>
      </c>
      <c r="I43" s="138"/>
      <c r="J43" s="64" t="str">
        <f t="shared" si="1"/>
        <v/>
      </c>
      <c r="K43" s="6"/>
      <c r="L43" s="15">
        <v>39</v>
      </c>
      <c r="M43" s="15">
        <f>COUNTIFS($E$24:$E$159,"=39")</f>
        <v>0</v>
      </c>
      <c r="N43" t="str">
        <f t="shared" si="2"/>
        <v>OK</v>
      </c>
      <c r="O43" t="str">
        <f>VLOOKUP(L43,報名總表及收費!$I$30:$K$118,2)</f>
        <v>D</v>
      </c>
      <c r="P43" s="1">
        <f>IF(VLOOKUP(L43,報名總表及收費!$I$30:$K$118,3)=0,"",VLOOKUP(L43,報名總表及收費!$I$30:$K$118,3,FALSE))</f>
        <v>14200</v>
      </c>
      <c r="Q43" s="68">
        <f t="shared" ca="1" si="3"/>
        <v>14</v>
      </c>
      <c r="R43" s="6" t="str">
        <f t="shared" si="4"/>
        <v/>
      </c>
      <c r="S43" s="6" t="str">
        <f t="shared" si="5"/>
        <v/>
      </c>
      <c r="T43" s="1" t="str">
        <f t="shared" si="6"/>
        <v/>
      </c>
      <c r="U43" t="str">
        <f t="shared" si="7"/>
        <v/>
      </c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</row>
    <row r="44" spans="1:260" ht="16.5" customHeight="1">
      <c r="A44" s="181" t="s">
        <v>31</v>
      </c>
      <c r="B44" s="123"/>
      <c r="C44" s="20"/>
      <c r="D44" s="20"/>
      <c r="E44" s="38"/>
      <c r="F44" s="108" t="str">
        <f>IF(E44="","",VLOOKUP(E44,報名總表及收費!$I$29:$L$110,4))</f>
        <v/>
      </c>
      <c r="G44" s="73"/>
      <c r="H44" s="75" t="str">
        <f t="shared" ca="1" si="0"/>
        <v/>
      </c>
      <c r="I44" s="139"/>
      <c r="J44" s="74" t="str">
        <f t="shared" si="1"/>
        <v/>
      </c>
      <c r="K44" s="6"/>
      <c r="L44" s="15">
        <v>41</v>
      </c>
      <c r="M44" s="15">
        <f>COUNTIFS($E$24:$E$159,"=41")</f>
        <v>0</v>
      </c>
      <c r="N44" t="str">
        <f t="shared" si="2"/>
        <v>OK</v>
      </c>
      <c r="O44" t="str">
        <f>VLOOKUP(L44,報名總表及收費!$I$30:$K$118,2)</f>
        <v>C</v>
      </c>
      <c r="P44" s="1">
        <f>IF(VLOOKUP(L44,報名總表及收費!$I$30:$K$118,3)=0,"",VLOOKUP(L44,報名總表及收費!$I$30:$K$118,3,FALSE))</f>
        <v>3800</v>
      </c>
      <c r="Q44" s="68">
        <f t="shared" ca="1" si="3"/>
        <v>15</v>
      </c>
      <c r="R44" s="6" t="str">
        <f t="shared" si="4"/>
        <v/>
      </c>
      <c r="S44" s="6" t="str">
        <f t="shared" si="5"/>
        <v/>
      </c>
      <c r="T44" s="1" t="str">
        <f t="shared" si="6"/>
        <v/>
      </c>
      <c r="U44" t="str">
        <f t="shared" si="7"/>
        <v/>
      </c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</row>
    <row r="45" spans="1:260" ht="16.5" customHeight="1">
      <c r="A45" s="182"/>
      <c r="B45" s="20"/>
      <c r="C45" s="20"/>
      <c r="D45" s="20"/>
      <c r="E45" s="38"/>
      <c r="F45" s="108" t="str">
        <f>IF(E45="","",VLOOKUP(E45,報名總表及收費!$I$29:$L$110,4))</f>
        <v/>
      </c>
      <c r="G45" s="73"/>
      <c r="H45" s="75" t="str">
        <f t="shared" ca="1" si="0"/>
        <v/>
      </c>
      <c r="I45" s="139"/>
      <c r="J45" s="74" t="str">
        <f t="shared" si="1"/>
        <v/>
      </c>
      <c r="K45" s="6"/>
      <c r="L45" s="15">
        <v>43</v>
      </c>
      <c r="M45" s="15">
        <f>COUNTIFS($E$24:$E$159,"=43")</f>
        <v>0</v>
      </c>
      <c r="N45" t="str">
        <f t="shared" si="2"/>
        <v>OK</v>
      </c>
      <c r="O45" t="str">
        <f>VLOOKUP(L45,報名總表及收費!$I$30:$K$118,2)</f>
        <v>D</v>
      </c>
      <c r="P45" s="1">
        <f>IF(VLOOKUP(L45,報名總表及收費!$I$30:$K$118,3)=0,"",VLOOKUP(L45,報名總表及收費!$I$30:$K$118,3,FALSE))</f>
        <v>4000</v>
      </c>
      <c r="Q45" s="68">
        <f t="shared" ca="1" si="3"/>
        <v>14</v>
      </c>
      <c r="R45" s="6" t="str">
        <f t="shared" si="4"/>
        <v/>
      </c>
      <c r="S45" s="6" t="str">
        <f t="shared" si="5"/>
        <v/>
      </c>
      <c r="T45" s="1" t="str">
        <f t="shared" si="6"/>
        <v/>
      </c>
      <c r="U45" t="str">
        <f t="shared" si="7"/>
        <v/>
      </c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</row>
    <row r="46" spans="1:260" ht="16.5" customHeight="1">
      <c r="A46" s="182"/>
      <c r="B46" s="20"/>
      <c r="C46" s="20"/>
      <c r="D46" s="20"/>
      <c r="E46" s="38"/>
      <c r="F46" s="108" t="str">
        <f>IF(E46="","",VLOOKUP(E46,報名總表及收費!$I$29:$L$110,4))</f>
        <v/>
      </c>
      <c r="G46" s="73"/>
      <c r="H46" s="75" t="str">
        <f t="shared" ca="1" si="0"/>
        <v/>
      </c>
      <c r="I46" s="139"/>
      <c r="J46" s="74" t="str">
        <f t="shared" si="1"/>
        <v/>
      </c>
      <c r="K46" s="6"/>
      <c r="L46" s="15">
        <v>45</v>
      </c>
      <c r="M46" s="15">
        <f>COUNTIFS($E$24:$E$159,"=45")</f>
        <v>0</v>
      </c>
      <c r="N46" t="str">
        <f t="shared" si="2"/>
        <v>OK</v>
      </c>
      <c r="O46" t="str">
        <f>VLOOKUP(L46,報名總表及收費!$I$30:$K$118,2)</f>
        <v>F</v>
      </c>
      <c r="P46" s="1">
        <f>IF(VLOOKUP(L46,報名總表及收費!$I$30:$K$118,3)=0,"",VLOOKUP(L46,報名總表及收費!$I$30:$K$118,3,FALSE))</f>
        <v>5000</v>
      </c>
      <c r="Q46" s="68">
        <f t="shared" ca="1" si="3"/>
        <v>9</v>
      </c>
      <c r="R46" s="6" t="str">
        <f t="shared" si="4"/>
        <v/>
      </c>
      <c r="S46" s="6" t="str">
        <f t="shared" si="5"/>
        <v/>
      </c>
      <c r="T46" s="1" t="str">
        <f t="shared" si="6"/>
        <v/>
      </c>
      <c r="U46" t="str">
        <f t="shared" si="7"/>
        <v/>
      </c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</row>
    <row r="47" spans="1:260" ht="16.5" customHeight="1">
      <c r="A47" s="183"/>
      <c r="B47" s="20"/>
      <c r="C47" s="20"/>
      <c r="D47" s="20"/>
      <c r="E47" s="38"/>
      <c r="F47" s="108" t="str">
        <f>IF(E47="","",VLOOKUP(E47,報名總表及收費!$I$29:$L$110,4))</f>
        <v/>
      </c>
      <c r="G47" s="73"/>
      <c r="H47" s="75" t="str">
        <f t="shared" ca="1" si="0"/>
        <v/>
      </c>
      <c r="I47" s="139"/>
      <c r="J47" s="74" t="str">
        <f t="shared" si="1"/>
        <v/>
      </c>
      <c r="K47" s="6"/>
      <c r="L47" s="15">
        <v>47</v>
      </c>
      <c r="M47" s="15">
        <f>COUNTIFS($E$24:$E$159,"=47")</f>
        <v>0</v>
      </c>
      <c r="N47" t="str">
        <f t="shared" si="2"/>
        <v>OK</v>
      </c>
      <c r="O47" t="str">
        <f>VLOOKUP(L47,報名總表及收費!$I$30:$K$118,2)</f>
        <v>C</v>
      </c>
      <c r="P47" s="1">
        <f>IF(VLOOKUP(L47,報名總表及收費!$I$30:$K$118,3)=0,"",VLOOKUP(L47,報名總表及收費!$I$30:$K$118,3,FALSE))</f>
        <v>12000</v>
      </c>
      <c r="Q47" s="68">
        <f t="shared" ca="1" si="3"/>
        <v>15</v>
      </c>
      <c r="R47" s="6" t="str">
        <f t="shared" si="4"/>
        <v/>
      </c>
      <c r="S47" s="6" t="str">
        <f t="shared" si="5"/>
        <v/>
      </c>
      <c r="T47" s="1" t="str">
        <f t="shared" si="6"/>
        <v/>
      </c>
      <c r="U47" t="str">
        <f t="shared" si="7"/>
        <v/>
      </c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</row>
    <row r="48" spans="1:260" ht="16.5" customHeight="1">
      <c r="A48" s="184" t="s">
        <v>32</v>
      </c>
      <c r="B48" s="19"/>
      <c r="C48" s="19"/>
      <c r="D48" s="19"/>
      <c r="E48" s="37"/>
      <c r="F48" s="107" t="str">
        <f>IF(E48="","",VLOOKUP(E48,報名總表及收費!$I$29:$L$110,4))</f>
        <v/>
      </c>
      <c r="G48" s="69"/>
      <c r="H48" s="72" t="str">
        <f t="shared" ca="1" si="0"/>
        <v/>
      </c>
      <c r="I48" s="138"/>
      <c r="J48" s="64" t="str">
        <f t="shared" si="1"/>
        <v/>
      </c>
      <c r="K48" s="6"/>
      <c r="L48" s="15">
        <v>49</v>
      </c>
      <c r="M48" s="15">
        <f>COUNTIFS($E$24:$E$159,"=49")</f>
        <v>0</v>
      </c>
      <c r="N48" t="str">
        <f t="shared" si="2"/>
        <v>OK</v>
      </c>
      <c r="O48" t="str">
        <f>VLOOKUP(L48,報名總表及收費!$I$30:$K$118,2)</f>
        <v>D</v>
      </c>
      <c r="P48" s="1">
        <f>IF(VLOOKUP(L48,報名總表及收費!$I$30:$K$118,3)=0,"",VLOOKUP(L48,報名總表及收費!$I$30:$K$118,3,FALSE))</f>
        <v>12400</v>
      </c>
      <c r="Q48" s="68">
        <f t="shared" ca="1" si="3"/>
        <v>14</v>
      </c>
      <c r="R48" s="6" t="str">
        <f t="shared" si="4"/>
        <v/>
      </c>
      <c r="S48" s="6" t="str">
        <f t="shared" si="5"/>
        <v/>
      </c>
      <c r="T48" s="1" t="str">
        <f t="shared" si="6"/>
        <v/>
      </c>
      <c r="U48" t="str">
        <f t="shared" si="7"/>
        <v/>
      </c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</row>
    <row r="49" spans="1:260" ht="16.5" customHeight="1">
      <c r="A49" s="185"/>
      <c r="B49" s="122"/>
      <c r="C49" s="19"/>
      <c r="D49" s="19"/>
      <c r="E49" s="37"/>
      <c r="F49" s="107" t="str">
        <f>IF(E49="","",VLOOKUP(E49,報名總表及收費!$I$29:$L$110,4))</f>
        <v/>
      </c>
      <c r="G49" s="69"/>
      <c r="H49" s="72" t="str">
        <f t="shared" ca="1" si="0"/>
        <v/>
      </c>
      <c r="I49" s="138"/>
      <c r="J49" s="64" t="str">
        <f t="shared" si="1"/>
        <v/>
      </c>
      <c r="K49" s="6"/>
      <c r="L49" s="15">
        <v>51</v>
      </c>
      <c r="M49" s="15">
        <f>COUNTIFS($E$24:$E$159,"=51")</f>
        <v>0</v>
      </c>
      <c r="N49" t="str">
        <f t="shared" si="2"/>
        <v>OK</v>
      </c>
      <c r="O49" t="str">
        <f>VLOOKUP(L49,報名總表及收費!$I$30:$K$118,2)</f>
        <v>C</v>
      </c>
      <c r="P49" s="1" t="str">
        <f>IF(VLOOKUP(L49,報名總表及收費!$I$30:$K$118,3)=0,"",VLOOKUP(L49,報名總表及收費!$I$30:$K$118,3,FALSE))</f>
        <v/>
      </c>
      <c r="Q49" s="68">
        <f t="shared" ca="1" si="3"/>
        <v>15</v>
      </c>
      <c r="R49" s="6" t="str">
        <f t="shared" si="4"/>
        <v/>
      </c>
      <c r="S49" s="6" t="str">
        <f t="shared" si="5"/>
        <v/>
      </c>
      <c r="T49" s="1" t="str">
        <f t="shared" si="6"/>
        <v/>
      </c>
      <c r="U49" t="str">
        <f t="shared" si="7"/>
        <v/>
      </c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</row>
    <row r="50" spans="1:260" ht="16.5" customHeight="1">
      <c r="A50" s="185"/>
      <c r="B50" s="19"/>
      <c r="C50" s="19"/>
      <c r="D50" s="19"/>
      <c r="E50" s="37"/>
      <c r="F50" s="107" t="str">
        <f>IF(E50="","",VLOOKUP(E50,報名總表及收費!$I$29:$L$110,4))</f>
        <v/>
      </c>
      <c r="G50" s="69"/>
      <c r="H50" s="72" t="str">
        <f t="shared" ca="1" si="0"/>
        <v/>
      </c>
      <c r="I50" s="138"/>
      <c r="J50" s="64" t="str">
        <f t="shared" si="1"/>
        <v/>
      </c>
      <c r="K50" s="6"/>
      <c r="L50" s="15">
        <v>53</v>
      </c>
      <c r="M50" s="15">
        <f>COUNTIFS($E$24:$E$159,"=53")</f>
        <v>0</v>
      </c>
      <c r="N50" t="str">
        <f t="shared" si="2"/>
        <v>OK</v>
      </c>
      <c r="O50" t="str">
        <f>VLOOKUP(L50,報名總表及收費!$I$30:$K$118,2)</f>
        <v>D</v>
      </c>
      <c r="P50" s="1" t="str">
        <f>IF(VLOOKUP(L50,報名總表及收費!$I$30:$K$118,3)=0,"",VLOOKUP(L50,報名總表及收費!$I$30:$K$118,3,FALSE))</f>
        <v/>
      </c>
      <c r="Q50" s="68">
        <f t="shared" ca="1" si="3"/>
        <v>14</v>
      </c>
      <c r="R50" s="6" t="str">
        <f t="shared" si="4"/>
        <v/>
      </c>
      <c r="S50" s="6" t="str">
        <f t="shared" si="5"/>
        <v/>
      </c>
      <c r="T50" s="1" t="str">
        <f t="shared" si="6"/>
        <v/>
      </c>
      <c r="U50" t="str">
        <f t="shared" si="7"/>
        <v/>
      </c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</row>
    <row r="51" spans="1:260" ht="16.5" customHeight="1">
      <c r="A51" s="186"/>
      <c r="B51" s="19"/>
      <c r="C51" s="19"/>
      <c r="D51" s="19"/>
      <c r="E51" s="37"/>
      <c r="F51" s="107" t="str">
        <f>IF(E51="","",VLOOKUP(E51,報名總表及收費!$I$29:$L$110,4))</f>
        <v/>
      </c>
      <c r="G51" s="69"/>
      <c r="H51" s="72" t="str">
        <f t="shared" ca="1" si="0"/>
        <v/>
      </c>
      <c r="I51" s="138"/>
      <c r="J51" s="64" t="str">
        <f t="shared" si="1"/>
        <v/>
      </c>
      <c r="K51" s="6"/>
      <c r="L51" s="15">
        <v>55</v>
      </c>
      <c r="M51" s="15">
        <f>COUNTIFS($E$24:$E$159,"=55")</f>
        <v>0</v>
      </c>
      <c r="N51" t="str">
        <f t="shared" si="2"/>
        <v>OK</v>
      </c>
      <c r="O51" t="str">
        <f>VLOOKUP(L51,報名總表及收費!$I$30:$K$118,2)</f>
        <v/>
      </c>
      <c r="P51" s="1" t="str">
        <f>IF(VLOOKUP(L51,報名總表及收費!$I$30:$K$118,3)=0,"",VLOOKUP(L51,報名總表及收費!$I$30:$K$118,3,FALSE))</f>
        <v/>
      </c>
      <c r="Q51" s="68" t="str">
        <f t="shared" ca="1" si="3"/>
        <v/>
      </c>
      <c r="R51" s="6" t="str">
        <f t="shared" si="4"/>
        <v/>
      </c>
      <c r="S51" s="6" t="str">
        <f t="shared" si="5"/>
        <v/>
      </c>
      <c r="T51" s="1" t="str">
        <f t="shared" si="6"/>
        <v/>
      </c>
      <c r="U51" t="str">
        <f t="shared" si="7"/>
        <v/>
      </c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</row>
    <row r="52" spans="1:260" ht="16.5" customHeight="1">
      <c r="A52" s="181" t="s">
        <v>33</v>
      </c>
      <c r="B52" s="20"/>
      <c r="C52" s="20"/>
      <c r="D52" s="20"/>
      <c r="E52" s="38"/>
      <c r="F52" s="108" t="str">
        <f>IF(E52="","",VLOOKUP(E52,報名總表及收費!$I$29:$L$110,4))</f>
        <v/>
      </c>
      <c r="G52" s="73"/>
      <c r="H52" s="75" t="str">
        <f t="shared" ca="1" si="0"/>
        <v/>
      </c>
      <c r="I52" s="139"/>
      <c r="J52" s="74" t="str">
        <f t="shared" si="1"/>
        <v/>
      </c>
      <c r="K52" s="6"/>
      <c r="L52" s="15">
        <v>57</v>
      </c>
      <c r="M52" s="15">
        <f>COUNTIFS($E$24:$E$159,"=57")</f>
        <v>0</v>
      </c>
      <c r="N52" t="str">
        <f t="shared" si="2"/>
        <v>OK</v>
      </c>
      <c r="O52" t="str">
        <f>VLOOKUP(L52,報名總表及收費!$I$30:$K$118,2)</f>
        <v/>
      </c>
      <c r="P52" s="1" t="str">
        <f>IF(VLOOKUP(L52,報名總表及收費!$I$30:$K$118,3)=0,"",VLOOKUP(L52,報名總表及收費!$I$30:$K$118,3,FALSE))</f>
        <v/>
      </c>
      <c r="Q52" s="68" t="str">
        <f t="shared" ca="1" si="3"/>
        <v/>
      </c>
      <c r="R52" s="6" t="str">
        <f t="shared" si="4"/>
        <v/>
      </c>
      <c r="S52" s="6" t="str">
        <f t="shared" si="5"/>
        <v/>
      </c>
      <c r="T52" s="1" t="str">
        <f t="shared" si="6"/>
        <v/>
      </c>
      <c r="U52" t="str">
        <f t="shared" si="7"/>
        <v/>
      </c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</row>
    <row r="53" spans="1:260" ht="16.5" customHeight="1">
      <c r="A53" s="182"/>
      <c r="B53" s="20"/>
      <c r="C53" s="20"/>
      <c r="D53" s="20"/>
      <c r="E53" s="38"/>
      <c r="F53" s="108" t="str">
        <f>IF(E53="","",VLOOKUP(E53,報名總表及收費!$I$29:$L$110,4))</f>
        <v/>
      </c>
      <c r="G53" s="73"/>
      <c r="H53" s="75" t="str">
        <f t="shared" ca="1" si="0"/>
        <v/>
      </c>
      <c r="I53" s="139"/>
      <c r="J53" s="74" t="str">
        <f t="shared" si="1"/>
        <v/>
      </c>
      <c r="K53" s="6"/>
      <c r="L53" s="15">
        <v>59</v>
      </c>
      <c r="M53" s="15">
        <f>COUNTIFS($E$24:$E$159,"=59")</f>
        <v>0</v>
      </c>
      <c r="N53" t="str">
        <f t="shared" si="2"/>
        <v>OK</v>
      </c>
      <c r="O53" t="str">
        <f>VLOOKUP(L53,報名總表及收費!$I$30:$K$118,2)</f>
        <v/>
      </c>
      <c r="P53" s="1" t="str">
        <f>IF(VLOOKUP(L53,報名總表及收費!$I$30:$K$118,3)=0,"",VLOOKUP(L53,報名總表及收費!$I$30:$K$118,3,FALSE))</f>
        <v/>
      </c>
      <c r="Q53" s="68" t="str">
        <f t="shared" ca="1" si="3"/>
        <v/>
      </c>
      <c r="R53" s="6" t="str">
        <f t="shared" si="4"/>
        <v/>
      </c>
      <c r="S53" s="6" t="str">
        <f t="shared" si="5"/>
        <v/>
      </c>
      <c r="T53" s="1" t="str">
        <f t="shared" si="6"/>
        <v/>
      </c>
      <c r="U53" t="str">
        <f t="shared" si="7"/>
        <v/>
      </c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</row>
    <row r="54" spans="1:260" ht="16.5" customHeight="1">
      <c r="A54" s="182"/>
      <c r="B54" s="20"/>
      <c r="C54" s="20"/>
      <c r="D54" s="20"/>
      <c r="E54" s="38"/>
      <c r="F54" s="108" t="str">
        <f>IF(E54="","",VLOOKUP(E54,報名總表及收費!$I$29:$L$110,4))</f>
        <v/>
      </c>
      <c r="G54" s="73"/>
      <c r="H54" s="75" t="str">
        <f t="shared" ca="1" si="0"/>
        <v/>
      </c>
      <c r="I54" s="139"/>
      <c r="J54" s="74" t="str">
        <f t="shared" si="1"/>
        <v/>
      </c>
      <c r="K54" s="6"/>
      <c r="L54" s="15">
        <v>61</v>
      </c>
      <c r="M54" s="15">
        <f>COUNTIFS($E$24:$E$159,"=61")</f>
        <v>0</v>
      </c>
      <c r="N54" t="str">
        <f t="shared" si="2"/>
        <v>OK</v>
      </c>
      <c r="O54" t="str">
        <f>VLOOKUP(L54,報名總表及收費!$I$30:$K$118,2)</f>
        <v/>
      </c>
      <c r="P54" s="1" t="str">
        <f>IF(VLOOKUP(L54,報名總表及收費!$I$30:$K$118,3)=0,"",VLOOKUP(L54,報名總表及收費!$I$30:$K$118,3,FALSE))</f>
        <v/>
      </c>
      <c r="Q54" s="68" t="str">
        <f t="shared" ca="1" si="3"/>
        <v/>
      </c>
      <c r="R54" s="6" t="str">
        <f t="shared" si="4"/>
        <v/>
      </c>
      <c r="S54" s="6" t="str">
        <f t="shared" si="5"/>
        <v/>
      </c>
      <c r="T54" s="1" t="str">
        <f t="shared" si="6"/>
        <v/>
      </c>
      <c r="U54" t="str">
        <f t="shared" si="7"/>
        <v/>
      </c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</row>
    <row r="55" spans="1:260" ht="16.5" customHeight="1">
      <c r="A55" s="183"/>
      <c r="B55" s="20"/>
      <c r="C55" s="20"/>
      <c r="D55" s="20"/>
      <c r="E55" s="38"/>
      <c r="F55" s="108" t="str">
        <f>IF(E55="","",VLOOKUP(E55,報名總表及收費!$I$29:$L$110,4))</f>
        <v/>
      </c>
      <c r="G55" s="73"/>
      <c r="H55" s="75" t="str">
        <f t="shared" ca="1" si="0"/>
        <v/>
      </c>
      <c r="I55" s="139"/>
      <c r="J55" s="74" t="str">
        <f t="shared" si="1"/>
        <v/>
      </c>
      <c r="K55" s="16"/>
      <c r="L55" s="15">
        <v>63</v>
      </c>
      <c r="M55" s="15">
        <f>COUNTIFS($E$24:$E$159,"=63")</f>
        <v>0</v>
      </c>
      <c r="N55" t="str">
        <f t="shared" si="2"/>
        <v>OK</v>
      </c>
      <c r="O55" t="str">
        <f>VLOOKUP(L55,報名總表及收費!$I$30:$K$118,2)</f>
        <v/>
      </c>
      <c r="P55" s="1" t="str">
        <f>IF(VLOOKUP(L55,報名總表及收費!$I$30:$K$118,3)=0,"",VLOOKUP(L55,報名總表及收費!$I$30:$K$118,3,FALSE))</f>
        <v/>
      </c>
      <c r="Q55" s="68" t="str">
        <f t="shared" ca="1" si="3"/>
        <v/>
      </c>
      <c r="R55" s="6" t="str">
        <f t="shared" si="4"/>
        <v/>
      </c>
      <c r="S55" s="6" t="str">
        <f t="shared" si="5"/>
        <v/>
      </c>
      <c r="T55" s="1" t="str">
        <f t="shared" si="6"/>
        <v/>
      </c>
      <c r="U55" t="str">
        <f t="shared" si="7"/>
        <v/>
      </c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</row>
    <row r="56" spans="1:260" ht="16.5" customHeight="1">
      <c r="A56" s="184" t="s">
        <v>34</v>
      </c>
      <c r="B56" s="19"/>
      <c r="C56" s="19"/>
      <c r="D56" s="19"/>
      <c r="E56" s="37"/>
      <c r="F56" s="107" t="str">
        <f>IF(E56="","",VLOOKUP(E56,報名總表及收費!$I$29:$L$110,4))</f>
        <v/>
      </c>
      <c r="G56" s="69"/>
      <c r="H56" s="72" t="str">
        <f t="shared" ca="1" si="0"/>
        <v/>
      </c>
      <c r="I56" s="138"/>
      <c r="J56" s="64" t="str">
        <f t="shared" si="1"/>
        <v/>
      </c>
      <c r="K56" s="16"/>
      <c r="L56" s="15">
        <v>65</v>
      </c>
      <c r="M56" s="15">
        <f>COUNTIFS($E$24:$E$159,"=65")</f>
        <v>0</v>
      </c>
      <c r="N56" t="str">
        <f t="shared" si="2"/>
        <v>OK</v>
      </c>
      <c r="O56" t="str">
        <f>VLOOKUP(L56,報名總表及收費!$I$30:$K$118,2)</f>
        <v/>
      </c>
      <c r="P56" s="1" t="str">
        <f>IF(VLOOKUP(L56,報名總表及收費!$I$30:$K$118,3)=0,"",VLOOKUP(L56,報名總表及收費!$I$30:$K$118,3,FALSE))</f>
        <v/>
      </c>
      <c r="Q56" s="68" t="str">
        <f t="shared" ca="1" si="3"/>
        <v/>
      </c>
      <c r="R56" s="6" t="str">
        <f t="shared" si="4"/>
        <v/>
      </c>
      <c r="S56" s="6" t="str">
        <f t="shared" si="5"/>
        <v/>
      </c>
      <c r="T56" s="1" t="str">
        <f t="shared" si="6"/>
        <v/>
      </c>
      <c r="U56" t="str">
        <f t="shared" si="7"/>
        <v/>
      </c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  <c r="IZ56"/>
    </row>
    <row r="57" spans="1:260" ht="16.5" customHeight="1">
      <c r="A57" s="185"/>
      <c r="B57" s="19"/>
      <c r="C57" s="19"/>
      <c r="D57" s="19"/>
      <c r="E57" s="37"/>
      <c r="F57" s="107" t="str">
        <f>IF(E57="","",VLOOKUP(E57,報名總表及收費!$I$29:$L$110,4))</f>
        <v/>
      </c>
      <c r="G57" s="69"/>
      <c r="H57" s="72" t="str">
        <f t="shared" ca="1" si="0"/>
        <v/>
      </c>
      <c r="I57" s="138"/>
      <c r="J57" s="64" t="str">
        <f t="shared" si="1"/>
        <v/>
      </c>
      <c r="K57" s="16"/>
      <c r="L57" s="15">
        <v>67</v>
      </c>
      <c r="M57" s="15">
        <f>COUNTIFS($E$24:$E$159,"=67")</f>
        <v>0</v>
      </c>
      <c r="N57" t="str">
        <f t="shared" si="2"/>
        <v>OK</v>
      </c>
      <c r="O57" t="str">
        <f>VLOOKUP(L57,報名總表及收費!$I$30:$K$118,2)</f>
        <v/>
      </c>
      <c r="P57" s="1" t="str">
        <f>IF(VLOOKUP(L57,報名總表及收費!$I$30:$K$118,3)=0,"",VLOOKUP(L57,報名總表及收費!$I$30:$K$118,3,FALSE))</f>
        <v/>
      </c>
      <c r="Q57" s="68" t="str">
        <f t="shared" ca="1" si="3"/>
        <v/>
      </c>
      <c r="R57" s="6" t="str">
        <f t="shared" si="4"/>
        <v/>
      </c>
      <c r="S57" s="6" t="str">
        <f t="shared" si="5"/>
        <v/>
      </c>
      <c r="T57" s="1" t="str">
        <f t="shared" si="6"/>
        <v/>
      </c>
      <c r="U57" t="str">
        <f t="shared" si="7"/>
        <v/>
      </c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</row>
    <row r="58" spans="1:260" ht="16.5" customHeight="1">
      <c r="A58" s="185"/>
      <c r="B58" s="19"/>
      <c r="C58" s="19"/>
      <c r="D58" s="19"/>
      <c r="E58" s="37"/>
      <c r="F58" s="107" t="str">
        <f>IF(E58="","",VLOOKUP(E58,報名總表及收費!$I$29:$L$110,4))</f>
        <v/>
      </c>
      <c r="G58" s="69"/>
      <c r="H58" s="72" t="str">
        <f t="shared" ca="1" si="0"/>
        <v/>
      </c>
      <c r="I58" s="138"/>
      <c r="J58" s="64" t="str">
        <f t="shared" si="1"/>
        <v/>
      </c>
      <c r="K58" s="16"/>
      <c r="L58" s="15">
        <v>69</v>
      </c>
      <c r="M58" s="15">
        <f t="shared" ref="M58" si="8">COUNTIFS($E$24:$E$159,"=63")</f>
        <v>0</v>
      </c>
      <c r="N58" t="str">
        <f t="shared" si="2"/>
        <v>OK</v>
      </c>
      <c r="O58" t="str">
        <f>VLOOKUP(L58,報名總表及收費!$I$30:$K$118,2)</f>
        <v/>
      </c>
      <c r="P58" s="1" t="str">
        <f>IF(VLOOKUP(L58,報名總表及收費!$I$30:$K$118,3)=0,"",VLOOKUP(L58,報名總表及收費!$I$30:$K$118,3,FALSE))</f>
        <v/>
      </c>
      <c r="Q58" s="68" t="str">
        <f t="shared" ca="1" si="3"/>
        <v/>
      </c>
      <c r="R58" s="6" t="str">
        <f t="shared" si="4"/>
        <v/>
      </c>
      <c r="S58" s="6" t="str">
        <f t="shared" si="5"/>
        <v/>
      </c>
      <c r="T58" s="1" t="str">
        <f t="shared" si="6"/>
        <v/>
      </c>
      <c r="U58" t="str">
        <f t="shared" si="7"/>
        <v/>
      </c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  <c r="IZ58"/>
    </row>
    <row r="59" spans="1:260" ht="16.5" customHeight="1">
      <c r="A59" s="186"/>
      <c r="B59" s="19"/>
      <c r="C59" s="19"/>
      <c r="D59" s="19"/>
      <c r="E59" s="37"/>
      <c r="F59" s="107" t="str">
        <f>IF(E59="","",VLOOKUP(E59,報名總表及收費!$I$29:$L$110,4))</f>
        <v/>
      </c>
      <c r="G59" s="69"/>
      <c r="H59" s="72" t="str">
        <f t="shared" ca="1" si="0"/>
        <v/>
      </c>
      <c r="I59" s="138"/>
      <c r="J59" s="64" t="str">
        <f t="shared" si="1"/>
        <v/>
      </c>
      <c r="K59" s="16"/>
      <c r="L59" s="15">
        <v>71</v>
      </c>
      <c r="M59" s="15">
        <f t="shared" ref="M59" si="9">COUNTIFS($E$24:$E$159,"=65")</f>
        <v>0</v>
      </c>
      <c r="N59" t="str">
        <f t="shared" si="2"/>
        <v>OK</v>
      </c>
      <c r="O59" t="str">
        <f>VLOOKUP(L59,報名總表及收費!$I$30:$K$118,2)</f>
        <v/>
      </c>
      <c r="P59" s="1" t="str">
        <f>IF(VLOOKUP(L59,報名總表及收費!$I$30:$K$118,3)=0,"",VLOOKUP(L59,報名總表及收費!$I$30:$K$118,3,FALSE))</f>
        <v/>
      </c>
      <c r="Q59" s="68" t="str">
        <f t="shared" ca="1" si="3"/>
        <v/>
      </c>
      <c r="R59" s="6" t="str">
        <f t="shared" si="4"/>
        <v/>
      </c>
      <c r="S59" s="6" t="str">
        <f t="shared" si="5"/>
        <v/>
      </c>
      <c r="T59" s="1" t="str">
        <f t="shared" si="6"/>
        <v/>
      </c>
      <c r="U59" t="str">
        <f t="shared" si="7"/>
        <v/>
      </c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  <c r="IZ59"/>
    </row>
    <row r="60" spans="1:260" ht="16.5" customHeight="1">
      <c r="A60" s="181" t="s">
        <v>35</v>
      </c>
      <c r="B60" s="20"/>
      <c r="C60" s="20"/>
      <c r="D60" s="20"/>
      <c r="E60" s="38"/>
      <c r="F60" s="108" t="str">
        <f>IF(E60="","",VLOOKUP(E60,報名總表及收費!$I$29:$L$110,4))</f>
        <v/>
      </c>
      <c r="G60" s="73"/>
      <c r="H60" s="75" t="str">
        <f t="shared" ca="1" si="0"/>
        <v/>
      </c>
      <c r="I60" s="139"/>
      <c r="J60" s="74" t="str">
        <f t="shared" si="1"/>
        <v/>
      </c>
      <c r="K60" s="16"/>
      <c r="L60" s="15">
        <v>73</v>
      </c>
      <c r="M60" s="15">
        <f t="shared" ref="M60" si="10">COUNTIFS($E$24:$E$159,"=67")</f>
        <v>0</v>
      </c>
      <c r="N60" t="str">
        <f t="shared" si="2"/>
        <v>OK</v>
      </c>
      <c r="O60" t="str">
        <f>VLOOKUP(L60,報名總表及收費!$I$30:$K$118,2)</f>
        <v/>
      </c>
      <c r="P60" s="1" t="str">
        <f>IF(VLOOKUP(L60,報名總表及收費!$I$30:$K$118,3)=0,"",VLOOKUP(L60,報名總表及收費!$I$30:$K$118,3,FALSE))</f>
        <v/>
      </c>
      <c r="Q60" s="68" t="str">
        <f t="shared" ca="1" si="3"/>
        <v/>
      </c>
      <c r="R60" s="6" t="str">
        <f t="shared" si="4"/>
        <v/>
      </c>
      <c r="S60" s="6" t="str">
        <f t="shared" si="5"/>
        <v/>
      </c>
      <c r="T60" s="1" t="str">
        <f t="shared" si="6"/>
        <v/>
      </c>
      <c r="U60" t="str">
        <f t="shared" si="7"/>
        <v/>
      </c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  <c r="IY60"/>
      <c r="IZ60"/>
    </row>
    <row r="61" spans="1:260" ht="16.5" customHeight="1">
      <c r="A61" s="182"/>
      <c r="B61" s="20"/>
      <c r="C61" s="20"/>
      <c r="D61" s="20"/>
      <c r="E61" s="38"/>
      <c r="F61" s="108" t="str">
        <f>IF(E61="","",VLOOKUP(E61,報名總表及收費!$I$29:$L$110,4))</f>
        <v/>
      </c>
      <c r="G61" s="73"/>
      <c r="H61" s="75" t="str">
        <f t="shared" ca="1" si="0"/>
        <v/>
      </c>
      <c r="I61" s="139"/>
      <c r="J61" s="74" t="str">
        <f t="shared" si="1"/>
        <v/>
      </c>
      <c r="K61" s="16"/>
      <c r="L61" s="15">
        <v>75</v>
      </c>
      <c r="M61" s="15">
        <f t="shared" ref="M61" si="11">COUNTIFS($E$24:$E$159,"=63")</f>
        <v>0</v>
      </c>
      <c r="N61" t="str">
        <f t="shared" si="2"/>
        <v>OK</v>
      </c>
      <c r="O61" t="str">
        <f>VLOOKUP(L61,報名總表及收費!$I$30:$K$118,2)</f>
        <v/>
      </c>
      <c r="P61" s="1" t="str">
        <f>IF(VLOOKUP(L61,報名總表及收費!$I$30:$K$118,3)=0,"",VLOOKUP(L61,報名總表及收費!$I$30:$K$118,3,FALSE))</f>
        <v/>
      </c>
      <c r="Q61" s="68" t="str">
        <f t="shared" ca="1" si="3"/>
        <v/>
      </c>
      <c r="R61" s="6" t="str">
        <f t="shared" si="4"/>
        <v/>
      </c>
      <c r="S61" s="6" t="str">
        <f t="shared" si="5"/>
        <v/>
      </c>
      <c r="T61" s="1" t="str">
        <f t="shared" si="6"/>
        <v/>
      </c>
      <c r="U61" t="str">
        <f t="shared" si="7"/>
        <v/>
      </c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  <c r="IW61"/>
      <c r="IX61"/>
      <c r="IY61"/>
      <c r="IZ61"/>
    </row>
    <row r="62" spans="1:260" ht="16.5" customHeight="1">
      <c r="A62" s="182"/>
      <c r="B62" s="20"/>
      <c r="C62" s="20"/>
      <c r="D62" s="20"/>
      <c r="E62" s="38"/>
      <c r="F62" s="108" t="str">
        <f>IF(E62="","",VLOOKUP(E62,報名總表及收費!$I$29:$L$110,4))</f>
        <v/>
      </c>
      <c r="G62" s="73"/>
      <c r="H62" s="75" t="str">
        <f t="shared" ca="1" si="0"/>
        <v/>
      </c>
      <c r="I62" s="139"/>
      <c r="J62" s="74" t="str">
        <f t="shared" si="1"/>
        <v/>
      </c>
      <c r="K62" s="16"/>
      <c r="L62" s="15">
        <v>77</v>
      </c>
      <c r="M62" s="15">
        <f t="shared" ref="M62" si="12">COUNTIFS($E$24:$E$159,"=65")</f>
        <v>0</v>
      </c>
      <c r="N62" t="str">
        <f t="shared" si="2"/>
        <v>OK</v>
      </c>
      <c r="O62" t="str">
        <f>VLOOKUP(L62,報名總表及收費!$I$30:$K$118,2)</f>
        <v/>
      </c>
      <c r="P62" s="1" t="str">
        <f>IF(VLOOKUP(L62,報名總表及收費!$I$30:$K$118,3)=0,"",VLOOKUP(L62,報名總表及收費!$I$30:$K$118,3,FALSE))</f>
        <v/>
      </c>
      <c r="Q62" s="68" t="str">
        <f t="shared" ca="1" si="3"/>
        <v/>
      </c>
      <c r="R62" s="6" t="str">
        <f t="shared" si="4"/>
        <v/>
      </c>
      <c r="S62" s="6" t="str">
        <f t="shared" si="5"/>
        <v/>
      </c>
      <c r="T62" s="1" t="str">
        <f t="shared" si="6"/>
        <v/>
      </c>
      <c r="U62" t="str">
        <f t="shared" si="7"/>
        <v/>
      </c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  <c r="IZ62"/>
    </row>
    <row r="63" spans="1:260" ht="16.5" customHeight="1">
      <c r="A63" s="183"/>
      <c r="B63" s="20"/>
      <c r="C63" s="20"/>
      <c r="D63" s="20"/>
      <c r="E63" s="38"/>
      <c r="F63" s="108" t="str">
        <f>IF(E63="","",VLOOKUP(E63,報名總表及收費!$I$29:$L$110,4))</f>
        <v/>
      </c>
      <c r="G63" s="73"/>
      <c r="H63" s="75" t="str">
        <f t="shared" ca="1" si="0"/>
        <v/>
      </c>
      <c r="I63" s="139"/>
      <c r="J63" s="74" t="str">
        <f t="shared" si="1"/>
        <v/>
      </c>
      <c r="K63" s="16"/>
      <c r="L63" s="15">
        <v>79</v>
      </c>
      <c r="M63" s="15">
        <f t="shared" ref="M63" si="13">COUNTIFS($E$24:$E$159,"=67")</f>
        <v>0</v>
      </c>
      <c r="N63" t="str">
        <f t="shared" si="2"/>
        <v>OK</v>
      </c>
      <c r="O63" t="str">
        <f>VLOOKUP(L63,報名總表及收費!$I$30:$K$118,2)</f>
        <v/>
      </c>
      <c r="P63" s="1" t="str">
        <f>IF(VLOOKUP(L63,報名總表及收費!$I$30:$K$118,3)=0,"",VLOOKUP(L63,報名總表及收費!$I$30:$K$118,3,FALSE))</f>
        <v/>
      </c>
      <c r="Q63" s="68" t="str">
        <f t="shared" ca="1" si="3"/>
        <v/>
      </c>
      <c r="R63" s="6" t="str">
        <f t="shared" si="4"/>
        <v/>
      </c>
      <c r="S63" s="6" t="str">
        <f t="shared" si="5"/>
        <v/>
      </c>
      <c r="T63" s="1" t="str">
        <f t="shared" si="6"/>
        <v/>
      </c>
      <c r="U63" t="str">
        <f t="shared" si="7"/>
        <v/>
      </c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  <c r="IY63"/>
      <c r="IZ63"/>
    </row>
    <row r="64" spans="1:260" ht="16.5" customHeight="1">
      <c r="A64" s="184" t="s">
        <v>36</v>
      </c>
      <c r="B64" s="19"/>
      <c r="C64" s="19"/>
      <c r="D64" s="19"/>
      <c r="E64" s="37"/>
      <c r="F64" s="107" t="str">
        <f>IF(E64="","",VLOOKUP(E64,報名總表及收費!$I$29:$L$110,4))</f>
        <v/>
      </c>
      <c r="G64" s="69"/>
      <c r="H64" s="72" t="str">
        <f t="shared" ca="1" si="0"/>
        <v/>
      </c>
      <c r="I64" s="138"/>
      <c r="J64" s="64" t="str">
        <f t="shared" si="1"/>
        <v/>
      </c>
      <c r="K64" s="16"/>
      <c r="L64" s="16"/>
      <c r="M64" s="40">
        <f>SUM(M24:M63)</f>
        <v>0</v>
      </c>
      <c r="N64"/>
      <c r="O64"/>
      <c r="P64"/>
      <c r="Q64" s="68" t="str">
        <f t="shared" ca="1" si="3"/>
        <v/>
      </c>
      <c r="R64" s="6" t="str">
        <f t="shared" si="4"/>
        <v/>
      </c>
      <c r="S64" s="6" t="str">
        <f t="shared" si="5"/>
        <v/>
      </c>
      <c r="T64" s="1" t="str">
        <f t="shared" si="6"/>
        <v/>
      </c>
      <c r="U64" t="str">
        <f t="shared" si="7"/>
        <v/>
      </c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  <c r="IZ64"/>
    </row>
    <row r="65" spans="1:260" ht="16.5" customHeight="1">
      <c r="A65" s="185"/>
      <c r="B65" s="19"/>
      <c r="C65" s="19"/>
      <c r="D65" s="19"/>
      <c r="E65" s="37"/>
      <c r="F65" s="107" t="str">
        <f>IF(E65="","",VLOOKUP(E65,報名總表及收費!$I$29:$L$110,4))</f>
        <v/>
      </c>
      <c r="G65" s="69"/>
      <c r="H65" s="72" t="str">
        <f t="shared" ca="1" si="0"/>
        <v/>
      </c>
      <c r="I65" s="138"/>
      <c r="J65" s="64" t="str">
        <f t="shared" si="1"/>
        <v/>
      </c>
      <c r="K65" s="16"/>
      <c r="L65" s="16"/>
      <c r="M65" s="16"/>
      <c r="N65"/>
      <c r="O65"/>
      <c r="P65"/>
      <c r="Q65" s="68" t="str">
        <f t="shared" ca="1" si="3"/>
        <v/>
      </c>
      <c r="R65" s="6" t="str">
        <f t="shared" si="4"/>
        <v/>
      </c>
      <c r="S65" s="6" t="str">
        <f t="shared" si="5"/>
        <v/>
      </c>
      <c r="T65" s="1" t="str">
        <f t="shared" si="6"/>
        <v/>
      </c>
      <c r="U65" t="str">
        <f t="shared" si="7"/>
        <v/>
      </c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  <c r="IY65"/>
      <c r="IZ65"/>
    </row>
    <row r="66" spans="1:260" ht="16.5" customHeight="1">
      <c r="A66" s="185"/>
      <c r="B66" s="19"/>
      <c r="C66" s="19"/>
      <c r="D66" s="19"/>
      <c r="E66" s="37"/>
      <c r="F66" s="107" t="str">
        <f>IF(E66="","",VLOOKUP(E66,報名總表及收費!$I$29:$L$110,4))</f>
        <v/>
      </c>
      <c r="G66" s="69"/>
      <c r="H66" s="72" t="str">
        <f t="shared" ca="1" si="0"/>
        <v/>
      </c>
      <c r="I66" s="138"/>
      <c r="J66" s="64" t="str">
        <f t="shared" si="1"/>
        <v/>
      </c>
      <c r="K66" s="16"/>
      <c r="L66" s="16"/>
      <c r="M66" s="16"/>
      <c r="N66"/>
      <c r="O66"/>
      <c r="P66"/>
      <c r="Q66" s="68" t="str">
        <f t="shared" ca="1" si="3"/>
        <v/>
      </c>
      <c r="R66" s="6" t="str">
        <f t="shared" si="4"/>
        <v/>
      </c>
      <c r="S66" s="6" t="str">
        <f t="shared" si="5"/>
        <v/>
      </c>
      <c r="T66" s="1" t="str">
        <f t="shared" si="6"/>
        <v/>
      </c>
      <c r="U66" t="str">
        <f t="shared" si="7"/>
        <v/>
      </c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  <c r="IW66"/>
      <c r="IX66"/>
      <c r="IY66"/>
      <c r="IZ66"/>
    </row>
    <row r="67" spans="1:260" ht="16.5" customHeight="1">
      <c r="A67" s="186"/>
      <c r="B67" s="19"/>
      <c r="C67" s="19"/>
      <c r="D67" s="19"/>
      <c r="E67" s="37"/>
      <c r="F67" s="107" t="str">
        <f>IF(E67="","",VLOOKUP(E67,報名總表及收費!$I$29:$L$110,4))</f>
        <v/>
      </c>
      <c r="G67" s="69"/>
      <c r="H67" s="72" t="str">
        <f t="shared" ca="1" si="0"/>
        <v/>
      </c>
      <c r="I67" s="138"/>
      <c r="J67" s="64" t="str">
        <f t="shared" si="1"/>
        <v/>
      </c>
      <c r="K67" s="16"/>
      <c r="L67" s="16"/>
      <c r="M67" s="16"/>
      <c r="N67"/>
      <c r="O67"/>
      <c r="P67"/>
      <c r="Q67" s="68" t="str">
        <f t="shared" ca="1" si="3"/>
        <v/>
      </c>
      <c r="R67" s="6" t="str">
        <f t="shared" si="4"/>
        <v/>
      </c>
      <c r="S67" s="6" t="str">
        <f t="shared" si="5"/>
        <v/>
      </c>
      <c r="T67" s="1" t="str">
        <f t="shared" si="6"/>
        <v/>
      </c>
      <c r="U67" t="str">
        <f t="shared" si="7"/>
        <v/>
      </c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  <c r="IZ67"/>
    </row>
    <row r="68" spans="1:260" ht="16.5" customHeight="1">
      <c r="A68" s="181" t="s">
        <v>37</v>
      </c>
      <c r="B68" s="20"/>
      <c r="C68" s="20"/>
      <c r="D68" s="20"/>
      <c r="E68" s="38"/>
      <c r="F68" s="108" t="str">
        <f>IF(E68="","",VLOOKUP(E68,報名總表及收費!$I$29:$L$110,4))</f>
        <v/>
      </c>
      <c r="G68" s="73"/>
      <c r="H68" s="75" t="str">
        <f t="shared" ca="1" si="0"/>
        <v/>
      </c>
      <c r="I68" s="139"/>
      <c r="J68" s="74" t="str">
        <f t="shared" si="1"/>
        <v/>
      </c>
      <c r="K68" s="16"/>
      <c r="L68" s="16"/>
      <c r="M68" s="16"/>
      <c r="N68"/>
      <c r="O68"/>
      <c r="P68"/>
      <c r="Q68" s="68" t="str">
        <f t="shared" ca="1" si="3"/>
        <v/>
      </c>
      <c r="R68" s="6" t="str">
        <f t="shared" si="4"/>
        <v/>
      </c>
      <c r="S68" s="6" t="str">
        <f t="shared" si="5"/>
        <v/>
      </c>
      <c r="T68" s="1" t="str">
        <f t="shared" si="6"/>
        <v/>
      </c>
      <c r="U68" t="str">
        <f t="shared" si="7"/>
        <v/>
      </c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  <c r="IZ68"/>
    </row>
    <row r="69" spans="1:260" ht="16.5" customHeight="1">
      <c r="A69" s="182"/>
      <c r="B69" s="20"/>
      <c r="C69" s="20"/>
      <c r="D69" s="20"/>
      <c r="E69" s="38"/>
      <c r="F69" s="108" t="str">
        <f>IF(E69="","",VLOOKUP(E69,報名總表及收費!$I$29:$L$110,4))</f>
        <v/>
      </c>
      <c r="G69" s="73"/>
      <c r="H69" s="75" t="str">
        <f t="shared" ca="1" si="0"/>
        <v/>
      </c>
      <c r="I69" s="139"/>
      <c r="J69" s="74" t="str">
        <f t="shared" si="1"/>
        <v/>
      </c>
      <c r="K69" s="16"/>
      <c r="L69" s="16"/>
      <c r="M69" s="16"/>
      <c r="N69"/>
      <c r="O69"/>
      <c r="P69"/>
      <c r="Q69" s="68" t="str">
        <f t="shared" ca="1" si="3"/>
        <v/>
      </c>
      <c r="R69" s="6" t="str">
        <f t="shared" si="4"/>
        <v/>
      </c>
      <c r="S69" s="6" t="str">
        <f t="shared" si="5"/>
        <v/>
      </c>
      <c r="T69" s="1" t="str">
        <f t="shared" si="6"/>
        <v/>
      </c>
      <c r="U69" t="str">
        <f t="shared" si="7"/>
        <v/>
      </c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  <c r="IZ69"/>
    </row>
    <row r="70" spans="1:260" ht="16.5" customHeight="1">
      <c r="A70" s="182"/>
      <c r="B70" s="20"/>
      <c r="C70" s="20"/>
      <c r="D70" s="20"/>
      <c r="E70" s="38"/>
      <c r="F70" s="108" t="str">
        <f>IF(E70="","",VLOOKUP(E70,報名總表及收費!$I$29:$L$110,4))</f>
        <v/>
      </c>
      <c r="G70" s="73"/>
      <c r="H70" s="75" t="str">
        <f t="shared" ca="1" si="0"/>
        <v/>
      </c>
      <c r="I70" s="139"/>
      <c r="J70" s="74" t="str">
        <f t="shared" si="1"/>
        <v/>
      </c>
      <c r="K70" s="16"/>
      <c r="L70" s="16"/>
      <c r="M70" s="16"/>
      <c r="N70"/>
      <c r="O70"/>
      <c r="P70"/>
      <c r="Q70" s="68" t="str">
        <f t="shared" ca="1" si="3"/>
        <v/>
      </c>
      <c r="R70" s="6" t="str">
        <f t="shared" si="4"/>
        <v/>
      </c>
      <c r="S70" s="6" t="str">
        <f t="shared" si="5"/>
        <v/>
      </c>
      <c r="T70" s="1" t="str">
        <f t="shared" si="6"/>
        <v/>
      </c>
      <c r="U70" t="str">
        <f t="shared" si="7"/>
        <v/>
      </c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  <c r="IZ70"/>
    </row>
    <row r="71" spans="1:260" ht="16.5" customHeight="1">
      <c r="A71" s="183"/>
      <c r="B71" s="20"/>
      <c r="C71" s="20"/>
      <c r="D71" s="20"/>
      <c r="E71" s="38"/>
      <c r="F71" s="108" t="str">
        <f>IF(E71="","",VLOOKUP(E71,報名總表及收費!$I$29:$L$110,4))</f>
        <v/>
      </c>
      <c r="G71" s="73"/>
      <c r="H71" s="75" t="str">
        <f t="shared" ca="1" si="0"/>
        <v/>
      </c>
      <c r="I71" s="139"/>
      <c r="J71" s="74" t="str">
        <f t="shared" si="1"/>
        <v/>
      </c>
      <c r="K71" s="16"/>
      <c r="L71" s="16"/>
      <c r="M71" s="16"/>
      <c r="N71"/>
      <c r="O71"/>
      <c r="P71"/>
      <c r="Q71" s="68" t="str">
        <f t="shared" ca="1" si="3"/>
        <v/>
      </c>
      <c r="R71" s="6" t="str">
        <f t="shared" si="4"/>
        <v/>
      </c>
      <c r="S71" s="6" t="str">
        <f t="shared" si="5"/>
        <v/>
      </c>
      <c r="T71" s="1" t="str">
        <f t="shared" si="6"/>
        <v/>
      </c>
      <c r="U71" t="str">
        <f t="shared" si="7"/>
        <v/>
      </c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  <c r="IV71"/>
      <c r="IW71"/>
      <c r="IX71"/>
      <c r="IY71"/>
      <c r="IZ71"/>
    </row>
    <row r="72" spans="1:260" ht="16.5" customHeight="1">
      <c r="A72" s="184" t="s">
        <v>38</v>
      </c>
      <c r="B72" s="19"/>
      <c r="C72" s="19"/>
      <c r="D72" s="19"/>
      <c r="E72" s="37"/>
      <c r="F72" s="107" t="str">
        <f>IF(E72="","",VLOOKUP(E72,報名總表及收費!$I$29:$L$110,4))</f>
        <v/>
      </c>
      <c r="G72" s="69"/>
      <c r="H72" s="72" t="str">
        <f t="shared" ca="1" si="0"/>
        <v/>
      </c>
      <c r="I72" s="138"/>
      <c r="J72" s="64" t="str">
        <f t="shared" si="1"/>
        <v/>
      </c>
      <c r="K72" s="16"/>
      <c r="L72" s="16"/>
      <c r="M72" s="16"/>
      <c r="N72"/>
      <c r="O72"/>
      <c r="P72"/>
      <c r="Q72" s="68" t="str">
        <f t="shared" ca="1" si="3"/>
        <v/>
      </c>
      <c r="R72" s="6" t="str">
        <f t="shared" si="4"/>
        <v/>
      </c>
      <c r="S72" s="6" t="str">
        <f t="shared" si="5"/>
        <v/>
      </c>
      <c r="T72" s="1" t="str">
        <f t="shared" si="6"/>
        <v/>
      </c>
      <c r="U72" t="str">
        <f t="shared" si="7"/>
        <v/>
      </c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  <c r="IW72"/>
      <c r="IX72"/>
      <c r="IY72"/>
      <c r="IZ72"/>
    </row>
    <row r="73" spans="1:260" ht="16.5" customHeight="1">
      <c r="A73" s="185"/>
      <c r="B73" s="19"/>
      <c r="C73" s="19"/>
      <c r="D73" s="19"/>
      <c r="E73" s="37"/>
      <c r="F73" s="107" t="str">
        <f>IF(E73="","",VLOOKUP(E73,報名總表及收費!$I$29:$L$110,4))</f>
        <v/>
      </c>
      <c r="G73" s="69"/>
      <c r="H73" s="72" t="str">
        <f t="shared" ca="1" si="0"/>
        <v/>
      </c>
      <c r="I73" s="138"/>
      <c r="J73" s="64" t="str">
        <f t="shared" si="1"/>
        <v/>
      </c>
      <c r="K73" s="16"/>
      <c r="L73" s="16"/>
      <c r="M73" s="16"/>
      <c r="N73"/>
      <c r="O73"/>
      <c r="P73"/>
      <c r="Q73" s="68" t="str">
        <f t="shared" ca="1" si="3"/>
        <v/>
      </c>
      <c r="R73" s="6" t="str">
        <f t="shared" si="4"/>
        <v/>
      </c>
      <c r="S73" s="6" t="str">
        <f t="shared" si="5"/>
        <v/>
      </c>
      <c r="T73" s="1" t="str">
        <f t="shared" si="6"/>
        <v/>
      </c>
      <c r="U73" t="str">
        <f t="shared" si="7"/>
        <v/>
      </c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  <c r="IW73"/>
      <c r="IX73"/>
      <c r="IY73"/>
      <c r="IZ73"/>
    </row>
    <row r="74" spans="1:260" ht="16.5" customHeight="1">
      <c r="A74" s="185"/>
      <c r="B74" s="19"/>
      <c r="C74" s="19"/>
      <c r="D74" s="19"/>
      <c r="E74" s="37"/>
      <c r="F74" s="107" t="str">
        <f>IF(E74="","",VLOOKUP(E74,報名總表及收費!$I$29:$L$110,4))</f>
        <v/>
      </c>
      <c r="G74" s="69"/>
      <c r="H74" s="72" t="str">
        <f t="shared" ca="1" si="0"/>
        <v/>
      </c>
      <c r="I74" s="138"/>
      <c r="J74" s="64" t="str">
        <f t="shared" si="1"/>
        <v/>
      </c>
      <c r="K74" s="16"/>
      <c r="L74" s="16"/>
      <c r="M74" s="16"/>
      <c r="N74"/>
      <c r="O74"/>
      <c r="P74"/>
      <c r="Q74" s="68" t="str">
        <f t="shared" ca="1" si="3"/>
        <v/>
      </c>
      <c r="R74" s="6" t="str">
        <f t="shared" si="4"/>
        <v/>
      </c>
      <c r="S74" s="6" t="str">
        <f t="shared" si="5"/>
        <v/>
      </c>
      <c r="T74" s="1" t="str">
        <f t="shared" si="6"/>
        <v/>
      </c>
      <c r="U74" t="str">
        <f t="shared" si="7"/>
        <v/>
      </c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  <c r="IV74"/>
      <c r="IW74"/>
      <c r="IX74"/>
      <c r="IY74"/>
      <c r="IZ74"/>
    </row>
    <row r="75" spans="1:260" ht="16.5" customHeight="1">
      <c r="A75" s="186"/>
      <c r="B75" s="19"/>
      <c r="C75" s="19"/>
      <c r="D75" s="19"/>
      <c r="E75" s="37"/>
      <c r="F75" s="107" t="str">
        <f>IF(E75="","",VLOOKUP(E75,報名總表及收費!$I$29:$L$110,4))</f>
        <v/>
      </c>
      <c r="G75" s="69"/>
      <c r="H75" s="72" t="str">
        <f t="shared" ca="1" si="0"/>
        <v/>
      </c>
      <c r="I75" s="138"/>
      <c r="J75" s="64" t="str">
        <f t="shared" si="1"/>
        <v/>
      </c>
      <c r="K75" s="16"/>
      <c r="L75" s="16"/>
      <c r="M75" s="16"/>
      <c r="N75"/>
      <c r="O75"/>
      <c r="P75"/>
      <c r="Q75" s="68" t="str">
        <f t="shared" ca="1" si="3"/>
        <v/>
      </c>
      <c r="R75" s="6" t="str">
        <f t="shared" si="4"/>
        <v/>
      </c>
      <c r="S75" s="6" t="str">
        <f t="shared" si="5"/>
        <v/>
      </c>
      <c r="T75" s="1" t="str">
        <f t="shared" si="6"/>
        <v/>
      </c>
      <c r="U75" t="str">
        <f t="shared" si="7"/>
        <v/>
      </c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  <c r="IW75"/>
      <c r="IX75"/>
      <c r="IY75"/>
      <c r="IZ75"/>
    </row>
    <row r="76" spans="1:260" ht="16.5" customHeight="1">
      <c r="A76" s="181" t="s">
        <v>39</v>
      </c>
      <c r="B76" s="20"/>
      <c r="C76" s="20"/>
      <c r="D76" s="20"/>
      <c r="E76" s="38"/>
      <c r="F76" s="108" t="str">
        <f>IF(E76="","",VLOOKUP(E76,報名總表及收費!$I$29:$L$110,4))</f>
        <v/>
      </c>
      <c r="G76" s="73"/>
      <c r="H76" s="75" t="str">
        <f t="shared" ca="1" si="0"/>
        <v/>
      </c>
      <c r="I76" s="139"/>
      <c r="J76" s="74" t="str">
        <f t="shared" si="1"/>
        <v/>
      </c>
      <c r="K76" s="16"/>
      <c r="L76" s="16"/>
      <c r="M76" s="16"/>
      <c r="N76"/>
      <c r="O76"/>
      <c r="P76"/>
      <c r="Q76" s="68" t="str">
        <f t="shared" ca="1" si="3"/>
        <v/>
      </c>
      <c r="R76" s="6" t="str">
        <f t="shared" si="4"/>
        <v/>
      </c>
      <c r="S76" s="6" t="str">
        <f t="shared" si="5"/>
        <v/>
      </c>
      <c r="T76" s="1" t="str">
        <f t="shared" si="6"/>
        <v/>
      </c>
      <c r="U76" t="str">
        <f t="shared" si="7"/>
        <v/>
      </c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  <c r="IW76"/>
      <c r="IX76"/>
      <c r="IY76"/>
      <c r="IZ76"/>
    </row>
    <row r="77" spans="1:260" ht="16.5" customHeight="1">
      <c r="A77" s="182"/>
      <c r="B77" s="20"/>
      <c r="C77" s="20"/>
      <c r="D77" s="20"/>
      <c r="E77" s="38"/>
      <c r="F77" s="108" t="str">
        <f>IF(E77="","",VLOOKUP(E77,報名總表及收費!$I$29:$L$110,4))</f>
        <v/>
      </c>
      <c r="G77" s="73"/>
      <c r="H77" s="75" t="str">
        <f t="shared" ca="1" si="0"/>
        <v/>
      </c>
      <c r="I77" s="139"/>
      <c r="J77" s="74" t="str">
        <f t="shared" si="1"/>
        <v/>
      </c>
      <c r="K77" s="16"/>
      <c r="L77" s="16"/>
      <c r="M77" s="16"/>
      <c r="N77"/>
      <c r="O77"/>
      <c r="P77"/>
      <c r="Q77" s="68" t="str">
        <f t="shared" ca="1" si="3"/>
        <v/>
      </c>
      <c r="R77" s="6" t="str">
        <f t="shared" si="4"/>
        <v/>
      </c>
      <c r="S77" s="6" t="str">
        <f t="shared" si="5"/>
        <v/>
      </c>
      <c r="T77" s="1" t="str">
        <f t="shared" si="6"/>
        <v/>
      </c>
      <c r="U77" t="str">
        <f t="shared" si="7"/>
        <v/>
      </c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  <c r="IV77"/>
      <c r="IW77"/>
      <c r="IX77"/>
      <c r="IY77"/>
      <c r="IZ77"/>
    </row>
    <row r="78" spans="1:260" ht="16.5" customHeight="1">
      <c r="A78" s="182"/>
      <c r="B78" s="20"/>
      <c r="C78" s="20"/>
      <c r="D78" s="20"/>
      <c r="E78" s="38"/>
      <c r="F78" s="108" t="str">
        <f>IF(E78="","",VLOOKUP(E78,報名總表及收費!$I$29:$L$110,4))</f>
        <v/>
      </c>
      <c r="G78" s="73"/>
      <c r="H78" s="75" t="str">
        <f t="shared" ca="1" si="0"/>
        <v/>
      </c>
      <c r="I78" s="139"/>
      <c r="J78" s="74" t="str">
        <f t="shared" si="1"/>
        <v/>
      </c>
      <c r="K78" s="16"/>
      <c r="L78" s="16"/>
      <c r="M78" s="16"/>
      <c r="N78"/>
      <c r="O78"/>
      <c r="P78"/>
      <c r="Q78" s="68" t="str">
        <f t="shared" ca="1" si="3"/>
        <v/>
      </c>
      <c r="R78" s="6" t="str">
        <f t="shared" si="4"/>
        <v/>
      </c>
      <c r="S78" s="6" t="str">
        <f t="shared" si="5"/>
        <v/>
      </c>
      <c r="T78" s="1" t="str">
        <f t="shared" si="6"/>
        <v/>
      </c>
      <c r="U78" t="str">
        <f t="shared" si="7"/>
        <v/>
      </c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  <c r="IV78"/>
      <c r="IW78"/>
      <c r="IX78"/>
      <c r="IY78"/>
      <c r="IZ78"/>
    </row>
    <row r="79" spans="1:260" ht="16.5" customHeight="1">
      <c r="A79" s="183"/>
      <c r="B79" s="20"/>
      <c r="C79" s="20"/>
      <c r="D79" s="20"/>
      <c r="E79" s="38"/>
      <c r="F79" s="108" t="str">
        <f>IF(E79="","",VLOOKUP(E79,報名總表及收費!$I$29:$L$110,4))</f>
        <v/>
      </c>
      <c r="G79" s="73"/>
      <c r="H79" s="75" t="str">
        <f t="shared" ca="1" si="0"/>
        <v/>
      </c>
      <c r="I79" s="139"/>
      <c r="J79" s="74" t="str">
        <f t="shared" si="1"/>
        <v/>
      </c>
      <c r="K79" s="16"/>
      <c r="L79" s="16"/>
      <c r="M79" s="16"/>
      <c r="N79"/>
      <c r="O79"/>
      <c r="P79"/>
      <c r="Q79" s="68" t="str">
        <f t="shared" ca="1" si="3"/>
        <v/>
      </c>
      <c r="R79" s="6" t="str">
        <f t="shared" si="4"/>
        <v/>
      </c>
      <c r="S79" s="6" t="str">
        <f t="shared" si="5"/>
        <v/>
      </c>
      <c r="T79" s="1" t="str">
        <f t="shared" si="6"/>
        <v/>
      </c>
      <c r="U79" t="str">
        <f t="shared" si="7"/>
        <v/>
      </c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  <c r="IV79"/>
      <c r="IW79"/>
      <c r="IX79"/>
      <c r="IY79"/>
      <c r="IZ79"/>
    </row>
    <row r="80" spans="1:260" ht="16.5" customHeight="1">
      <c r="A80" s="184" t="s">
        <v>40</v>
      </c>
      <c r="B80" s="19"/>
      <c r="C80" s="19"/>
      <c r="D80" s="19"/>
      <c r="E80" s="37"/>
      <c r="F80" s="107" t="str">
        <f>IF(E80="","",VLOOKUP(E80,報名總表及收費!$I$29:$L$110,4))</f>
        <v/>
      </c>
      <c r="G80" s="69"/>
      <c r="H80" s="72" t="str">
        <f t="shared" ca="1" si="0"/>
        <v/>
      </c>
      <c r="I80" s="138"/>
      <c r="J80" s="64" t="str">
        <f t="shared" si="1"/>
        <v/>
      </c>
      <c r="K80" s="16"/>
      <c r="L80" s="16"/>
      <c r="M80" s="16"/>
      <c r="N80"/>
      <c r="O80"/>
      <c r="P80"/>
      <c r="Q80" s="68" t="str">
        <f t="shared" ca="1" si="3"/>
        <v/>
      </c>
      <c r="R80" s="6" t="str">
        <f t="shared" si="4"/>
        <v/>
      </c>
      <c r="S80" s="6" t="str">
        <f t="shared" si="5"/>
        <v/>
      </c>
      <c r="T80" s="1" t="str">
        <f t="shared" si="6"/>
        <v/>
      </c>
      <c r="U80" t="str">
        <f t="shared" si="7"/>
        <v/>
      </c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  <c r="IO80"/>
      <c r="IP80"/>
      <c r="IQ80"/>
      <c r="IR80"/>
      <c r="IS80"/>
      <c r="IT80"/>
      <c r="IU80"/>
      <c r="IV80"/>
      <c r="IW80"/>
      <c r="IX80"/>
      <c r="IY80"/>
      <c r="IZ80"/>
    </row>
    <row r="81" spans="1:260" ht="16.5" customHeight="1">
      <c r="A81" s="185"/>
      <c r="B81" s="19"/>
      <c r="C81" s="19"/>
      <c r="D81" s="19"/>
      <c r="E81" s="37"/>
      <c r="F81" s="107" t="str">
        <f>IF(E81="","",VLOOKUP(E81,報名總表及收費!$I$29:$L$110,4))</f>
        <v/>
      </c>
      <c r="G81" s="69"/>
      <c r="H81" s="72" t="str">
        <f t="shared" ca="1" si="0"/>
        <v/>
      </c>
      <c r="I81" s="138"/>
      <c r="J81" s="64" t="str">
        <f t="shared" si="1"/>
        <v/>
      </c>
      <c r="K81" s="16"/>
      <c r="L81" s="16"/>
      <c r="M81" s="16"/>
      <c r="N81"/>
      <c r="O81"/>
      <c r="P81"/>
      <c r="Q81" s="68" t="str">
        <f t="shared" ca="1" si="3"/>
        <v/>
      </c>
      <c r="R81" s="6" t="str">
        <f t="shared" si="4"/>
        <v/>
      </c>
      <c r="S81" s="6" t="str">
        <f t="shared" si="5"/>
        <v/>
      </c>
      <c r="T81" s="1" t="str">
        <f t="shared" si="6"/>
        <v/>
      </c>
      <c r="U81" t="str">
        <f t="shared" si="7"/>
        <v/>
      </c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  <c r="IU81"/>
      <c r="IV81"/>
      <c r="IW81"/>
      <c r="IX81"/>
      <c r="IY81"/>
      <c r="IZ81"/>
    </row>
    <row r="82" spans="1:260" ht="16.5" customHeight="1">
      <c r="A82" s="185"/>
      <c r="B82" s="19"/>
      <c r="C82" s="19"/>
      <c r="D82" s="19"/>
      <c r="E82" s="37"/>
      <c r="F82" s="107" t="str">
        <f>IF(E82="","",VLOOKUP(E82,報名總表及收費!$I$29:$L$110,4))</f>
        <v/>
      </c>
      <c r="G82" s="69"/>
      <c r="H82" s="72" t="str">
        <f t="shared" ca="1" si="0"/>
        <v/>
      </c>
      <c r="I82" s="138"/>
      <c r="J82" s="64" t="str">
        <f t="shared" si="1"/>
        <v/>
      </c>
      <c r="K82" s="16"/>
      <c r="L82" s="16"/>
      <c r="M82" s="16"/>
      <c r="N82"/>
      <c r="O82"/>
      <c r="P82"/>
      <c r="Q82" s="68" t="str">
        <f t="shared" ca="1" si="3"/>
        <v/>
      </c>
      <c r="R82" s="6" t="str">
        <f t="shared" si="4"/>
        <v/>
      </c>
      <c r="S82" s="6" t="str">
        <f t="shared" si="5"/>
        <v/>
      </c>
      <c r="T82" s="1" t="str">
        <f t="shared" si="6"/>
        <v/>
      </c>
      <c r="U82" t="str">
        <f t="shared" si="7"/>
        <v/>
      </c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  <c r="IO82"/>
      <c r="IP82"/>
      <c r="IQ82"/>
      <c r="IR82"/>
      <c r="IS82"/>
      <c r="IT82"/>
      <c r="IU82"/>
      <c r="IV82"/>
      <c r="IW82"/>
      <c r="IX82"/>
      <c r="IY82"/>
      <c r="IZ82"/>
    </row>
    <row r="83" spans="1:260" ht="16.5" customHeight="1">
      <c r="A83" s="186"/>
      <c r="B83" s="19"/>
      <c r="C83" s="19"/>
      <c r="D83" s="19"/>
      <c r="E83" s="37"/>
      <c r="F83" s="107" t="str">
        <f>IF(E83="","",VLOOKUP(E83,報名總表及收費!$I$29:$L$110,4))</f>
        <v/>
      </c>
      <c r="G83" s="69"/>
      <c r="H83" s="72" t="str">
        <f t="shared" ca="1" si="0"/>
        <v/>
      </c>
      <c r="I83" s="138"/>
      <c r="J83" s="64" t="str">
        <f t="shared" si="1"/>
        <v/>
      </c>
      <c r="K83" s="16"/>
      <c r="L83" s="16"/>
      <c r="M83" s="16"/>
      <c r="N83"/>
      <c r="O83"/>
      <c r="P83"/>
      <c r="Q83" s="68" t="str">
        <f t="shared" ca="1" si="3"/>
        <v/>
      </c>
      <c r="R83" s="6" t="str">
        <f t="shared" si="4"/>
        <v/>
      </c>
      <c r="S83" s="6" t="str">
        <f t="shared" si="5"/>
        <v/>
      </c>
      <c r="T83" s="1" t="str">
        <f t="shared" si="6"/>
        <v/>
      </c>
      <c r="U83" t="str">
        <f t="shared" si="7"/>
        <v/>
      </c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  <c r="IO83"/>
      <c r="IP83"/>
      <c r="IQ83"/>
      <c r="IR83"/>
      <c r="IS83"/>
      <c r="IT83"/>
      <c r="IU83"/>
      <c r="IV83"/>
      <c r="IW83"/>
      <c r="IX83"/>
      <c r="IY83"/>
      <c r="IZ83"/>
    </row>
    <row r="84" spans="1:260" ht="16.5" customHeight="1">
      <c r="A84" s="181" t="s">
        <v>41</v>
      </c>
      <c r="B84" s="20"/>
      <c r="C84" s="20"/>
      <c r="D84" s="20"/>
      <c r="E84" s="38"/>
      <c r="F84" s="108" t="str">
        <f>IF(E84="","",VLOOKUP(E84,報名總表及收費!$I$29:$L$110,4))</f>
        <v/>
      </c>
      <c r="G84" s="73"/>
      <c r="H84" s="75" t="str">
        <f t="shared" ca="1" si="0"/>
        <v/>
      </c>
      <c r="I84" s="139"/>
      <c r="J84" s="74" t="str">
        <f t="shared" si="1"/>
        <v/>
      </c>
      <c r="K84" s="16"/>
      <c r="L84" s="16"/>
      <c r="M84" s="16"/>
      <c r="N84"/>
      <c r="O84"/>
      <c r="P84"/>
      <c r="Q84" s="68" t="str">
        <f t="shared" ca="1" si="3"/>
        <v/>
      </c>
      <c r="R84" s="6" t="str">
        <f t="shared" si="4"/>
        <v/>
      </c>
      <c r="S84" s="6" t="str">
        <f t="shared" si="5"/>
        <v/>
      </c>
      <c r="T84" s="1" t="str">
        <f t="shared" si="6"/>
        <v/>
      </c>
      <c r="U84" t="str">
        <f t="shared" si="7"/>
        <v/>
      </c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  <c r="IO84"/>
      <c r="IP84"/>
      <c r="IQ84"/>
      <c r="IR84"/>
      <c r="IS84"/>
      <c r="IT84"/>
      <c r="IU84"/>
      <c r="IV84"/>
      <c r="IW84"/>
      <c r="IX84"/>
      <c r="IY84"/>
      <c r="IZ84"/>
    </row>
    <row r="85" spans="1:260" ht="16.5" customHeight="1">
      <c r="A85" s="182"/>
      <c r="B85" s="20"/>
      <c r="C85" s="20"/>
      <c r="D85" s="20"/>
      <c r="E85" s="38"/>
      <c r="F85" s="108" t="str">
        <f>IF(E85="","",VLOOKUP(E85,報名總表及收費!$I$29:$L$110,4))</f>
        <v/>
      </c>
      <c r="G85" s="73"/>
      <c r="H85" s="75" t="str">
        <f t="shared" ca="1" si="0"/>
        <v/>
      </c>
      <c r="I85" s="139"/>
      <c r="J85" s="74" t="str">
        <f t="shared" si="1"/>
        <v/>
      </c>
      <c r="K85" s="16"/>
      <c r="L85" s="16"/>
      <c r="M85" s="16"/>
      <c r="N85"/>
      <c r="O85"/>
      <c r="P85"/>
      <c r="Q85" s="68" t="str">
        <f t="shared" ca="1" si="3"/>
        <v/>
      </c>
      <c r="R85" s="6" t="str">
        <f t="shared" si="4"/>
        <v/>
      </c>
      <c r="S85" s="6" t="str">
        <f t="shared" si="5"/>
        <v/>
      </c>
      <c r="T85" s="1" t="str">
        <f t="shared" si="6"/>
        <v/>
      </c>
      <c r="U85" t="str">
        <f t="shared" si="7"/>
        <v/>
      </c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  <c r="IO85"/>
      <c r="IP85"/>
      <c r="IQ85"/>
      <c r="IR85"/>
      <c r="IS85"/>
      <c r="IT85"/>
      <c r="IU85"/>
      <c r="IV85"/>
      <c r="IW85"/>
      <c r="IX85"/>
      <c r="IY85"/>
      <c r="IZ85"/>
    </row>
    <row r="86" spans="1:260" ht="16.5" customHeight="1">
      <c r="A86" s="182"/>
      <c r="B86" s="20"/>
      <c r="C86" s="20"/>
      <c r="D86" s="20"/>
      <c r="E86" s="38"/>
      <c r="F86" s="108" t="str">
        <f>IF(E86="","",VLOOKUP(E86,報名總表及收費!$I$29:$L$110,4))</f>
        <v/>
      </c>
      <c r="G86" s="73"/>
      <c r="H86" s="75" t="str">
        <f t="shared" ca="1" si="0"/>
        <v/>
      </c>
      <c r="I86" s="139"/>
      <c r="J86" s="74" t="str">
        <f t="shared" si="1"/>
        <v/>
      </c>
      <c r="K86" s="16"/>
      <c r="L86" s="16"/>
      <c r="M86" s="16"/>
      <c r="N86"/>
      <c r="O86"/>
      <c r="P86"/>
      <c r="Q86" s="68" t="str">
        <f t="shared" ca="1" si="3"/>
        <v/>
      </c>
      <c r="R86" s="6" t="str">
        <f t="shared" si="4"/>
        <v/>
      </c>
      <c r="S86" s="6" t="str">
        <f t="shared" si="5"/>
        <v/>
      </c>
      <c r="T86" s="1" t="str">
        <f t="shared" si="6"/>
        <v/>
      </c>
      <c r="U86" t="str">
        <f t="shared" si="7"/>
        <v/>
      </c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  <c r="IO86"/>
      <c r="IP86"/>
      <c r="IQ86"/>
      <c r="IR86"/>
      <c r="IS86"/>
      <c r="IT86"/>
      <c r="IU86"/>
      <c r="IV86"/>
      <c r="IW86"/>
      <c r="IX86"/>
      <c r="IY86"/>
      <c r="IZ86"/>
    </row>
    <row r="87" spans="1:260" ht="16.5" customHeight="1">
      <c r="A87" s="183"/>
      <c r="B87" s="20"/>
      <c r="C87" s="20"/>
      <c r="D87" s="20"/>
      <c r="E87" s="38"/>
      <c r="F87" s="108" t="str">
        <f>IF(E87="","",VLOOKUP(E87,報名總表及收費!$I$29:$L$110,4))</f>
        <v/>
      </c>
      <c r="G87" s="73"/>
      <c r="H87" s="75" t="str">
        <f t="shared" ca="1" si="0"/>
        <v/>
      </c>
      <c r="I87" s="139"/>
      <c r="J87" s="74" t="str">
        <f t="shared" si="1"/>
        <v/>
      </c>
      <c r="K87" s="16"/>
      <c r="L87" s="16"/>
      <c r="M87" s="16"/>
      <c r="N87"/>
      <c r="O87"/>
      <c r="P87"/>
      <c r="Q87" s="68" t="str">
        <f t="shared" ca="1" si="3"/>
        <v/>
      </c>
      <c r="R87" s="6" t="str">
        <f t="shared" si="4"/>
        <v/>
      </c>
      <c r="S87" s="6" t="str">
        <f t="shared" si="5"/>
        <v/>
      </c>
      <c r="T87" s="1" t="str">
        <f t="shared" si="6"/>
        <v/>
      </c>
      <c r="U87" t="str">
        <f t="shared" si="7"/>
        <v/>
      </c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  <c r="IO87"/>
      <c r="IP87"/>
      <c r="IQ87"/>
      <c r="IR87"/>
      <c r="IS87"/>
      <c r="IT87"/>
      <c r="IU87"/>
      <c r="IV87"/>
      <c r="IW87"/>
      <c r="IX87"/>
      <c r="IY87"/>
      <c r="IZ87"/>
    </row>
    <row r="88" spans="1:260" ht="16.5" customHeight="1">
      <c r="A88" s="184" t="s">
        <v>42</v>
      </c>
      <c r="B88" s="19"/>
      <c r="C88" s="19"/>
      <c r="D88" s="19"/>
      <c r="E88" s="37"/>
      <c r="F88" s="107" t="str">
        <f>IF(E88="","",VLOOKUP(E88,報名總表及收費!$I$29:$L$110,4))</f>
        <v/>
      </c>
      <c r="G88" s="69"/>
      <c r="H88" s="72" t="str">
        <f t="shared" ref="H88:H127" ca="1" si="14">IF(D88=0,"",YEAR(NOW())-D88)</f>
        <v/>
      </c>
      <c r="I88" s="138"/>
      <c r="J88" s="64" t="str">
        <f t="shared" si="1"/>
        <v/>
      </c>
      <c r="K88" s="16"/>
      <c r="L88" s="16"/>
      <c r="M88" s="16"/>
      <c r="N88"/>
      <c r="O88"/>
      <c r="P88"/>
      <c r="Q88" s="68" t="str">
        <f t="shared" ca="1" si="3"/>
        <v/>
      </c>
      <c r="R88" s="6" t="str">
        <f t="shared" si="4"/>
        <v/>
      </c>
      <c r="S88" s="6" t="str">
        <f t="shared" si="5"/>
        <v/>
      </c>
      <c r="T88" s="1" t="str">
        <f t="shared" si="6"/>
        <v/>
      </c>
      <c r="U88" t="str">
        <f t="shared" si="7"/>
        <v/>
      </c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  <c r="IO88"/>
      <c r="IP88"/>
      <c r="IQ88"/>
      <c r="IR88"/>
      <c r="IS88"/>
      <c r="IT88"/>
      <c r="IU88"/>
      <c r="IV88"/>
      <c r="IW88"/>
      <c r="IX88"/>
      <c r="IY88"/>
      <c r="IZ88"/>
    </row>
    <row r="89" spans="1:260" ht="16.5" customHeight="1">
      <c r="A89" s="185"/>
      <c r="B89" s="19"/>
      <c r="C89" s="19"/>
      <c r="D89" s="19"/>
      <c r="E89" s="37"/>
      <c r="F89" s="107" t="str">
        <f>IF(E89="","",VLOOKUP(E89,報名總表及收費!$I$29:$L$110,4))</f>
        <v/>
      </c>
      <c r="G89" s="69"/>
      <c r="H89" s="72" t="str">
        <f t="shared" ca="1" si="14"/>
        <v/>
      </c>
      <c r="I89" s="138"/>
      <c r="J89" s="64" t="str">
        <f t="shared" ref="J89:J152" si="15">IF(E89="","",IF(((VLOOKUP(E89,$L$24:$Q$66,5))&lt;G89),"報項時間慢於達標時間",""))&amp;IF(T89="FAIL","    運動員錯組別","")&amp;IF(E89="","",IF(MOD(E89,2)=1,""," 項目編號為男子組"))</f>
        <v/>
      </c>
      <c r="K89" s="16"/>
      <c r="L89" s="16"/>
      <c r="M89" s="16"/>
      <c r="N89"/>
      <c r="O89"/>
      <c r="P89"/>
      <c r="Q89" s="68" t="str">
        <f t="shared" ref="Q89:Q152" ca="1" si="16">IF(O89="D",YEAR(NOW())-$P$5,IF(O89="C",YEAR(NOW())-$O$5,IF(O89="F",YEAR(NOW())-$Q$5,IF(O89=0,"",O89))))</f>
        <v/>
      </c>
      <c r="R89" s="6" t="str">
        <f t="shared" ref="R89:R152" si="17">IF(E89=0,"",IF(MOD(E89,2)=0,"",VLOOKUP(E89,$L$23:$Q$63,6,FALSE)))</f>
        <v/>
      </c>
      <c r="S89" s="6" t="str">
        <f t="shared" ref="S89:S152" si="18">IF(D89=0,"",VLOOKUP(E89,$L$24:$Q$63,4,FALSE))</f>
        <v/>
      </c>
      <c r="T89" s="1" t="str">
        <f t="shared" ref="T89:T152" si="19">IF(R89="","",IF(S89="C",IF(H89&gt;=R89,"OK","FAIL"),IF(S89="F",IF(H89&lt;=R89,"OK","FAIL"),IF(S89="D",IF(AND(H89&lt;=R89,H89&gt;=U89),"OK","FAIL"),IF(U89="",IF(H89=S89,"OK","FAIL"),IF(U89="9U",IF(H89&lt;=9,"OK","FAIL"),IF(U89="UP",IF(H89&gt;=15,"OK","FAIL"),IF(U89="DN",IF(H89&lt;=7,"OK","FAIL")))))))))</f>
        <v/>
      </c>
      <c r="U89" t="str">
        <f t="shared" ref="U89:U152" si="20">IF(R89="15U","UP",IF(R89="7D","DN",IF(R89="9U","9U",IF(S89="D",10,""))))</f>
        <v/>
      </c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  <c r="IO89"/>
      <c r="IP89"/>
      <c r="IQ89"/>
      <c r="IR89"/>
      <c r="IS89"/>
      <c r="IT89"/>
      <c r="IU89"/>
      <c r="IV89"/>
      <c r="IW89"/>
      <c r="IX89"/>
      <c r="IY89"/>
      <c r="IZ89"/>
    </row>
    <row r="90" spans="1:260" ht="16.5" customHeight="1">
      <c r="A90" s="185"/>
      <c r="B90" s="19"/>
      <c r="C90" s="19"/>
      <c r="D90" s="19"/>
      <c r="E90" s="37"/>
      <c r="F90" s="107" t="str">
        <f>IF(E90="","",VLOOKUP(E90,報名總表及收費!$I$29:$L$110,4))</f>
        <v/>
      </c>
      <c r="G90" s="69"/>
      <c r="H90" s="72" t="str">
        <f t="shared" ca="1" si="14"/>
        <v/>
      </c>
      <c r="I90" s="138"/>
      <c r="J90" s="64" t="str">
        <f t="shared" si="15"/>
        <v/>
      </c>
      <c r="K90" s="16"/>
      <c r="L90" s="16"/>
      <c r="M90" s="16"/>
      <c r="N90"/>
      <c r="O90"/>
      <c r="P90"/>
      <c r="Q90" s="68" t="str">
        <f t="shared" ca="1" si="16"/>
        <v/>
      </c>
      <c r="R90" s="6" t="str">
        <f t="shared" si="17"/>
        <v/>
      </c>
      <c r="S90" s="6" t="str">
        <f t="shared" si="18"/>
        <v/>
      </c>
      <c r="T90" s="1" t="str">
        <f t="shared" si="19"/>
        <v/>
      </c>
      <c r="U90" t="str">
        <f t="shared" si="20"/>
        <v/>
      </c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  <c r="IO90"/>
      <c r="IP90"/>
      <c r="IQ90"/>
      <c r="IR90"/>
      <c r="IS90"/>
      <c r="IT90"/>
      <c r="IU90"/>
      <c r="IV90"/>
      <c r="IW90"/>
      <c r="IX90"/>
      <c r="IY90"/>
      <c r="IZ90"/>
    </row>
    <row r="91" spans="1:260" ht="16.5" customHeight="1">
      <c r="A91" s="186"/>
      <c r="B91" s="19"/>
      <c r="C91" s="19"/>
      <c r="D91" s="19"/>
      <c r="E91" s="37"/>
      <c r="F91" s="107" t="str">
        <f>IF(E91="","",VLOOKUP(E91,報名總表及收費!$I$29:$L$110,4))</f>
        <v/>
      </c>
      <c r="G91" s="69"/>
      <c r="H91" s="72" t="str">
        <f t="shared" ca="1" si="14"/>
        <v/>
      </c>
      <c r="I91" s="138"/>
      <c r="J91" s="64" t="str">
        <f t="shared" si="15"/>
        <v/>
      </c>
      <c r="K91" s="16"/>
      <c r="L91" s="16"/>
      <c r="M91" s="16"/>
      <c r="N91"/>
      <c r="O91"/>
      <c r="P91"/>
      <c r="Q91" s="68" t="str">
        <f t="shared" ca="1" si="16"/>
        <v/>
      </c>
      <c r="R91" s="6" t="str">
        <f t="shared" si="17"/>
        <v/>
      </c>
      <c r="S91" s="6" t="str">
        <f t="shared" si="18"/>
        <v/>
      </c>
      <c r="T91" s="1" t="str">
        <f t="shared" si="19"/>
        <v/>
      </c>
      <c r="U91" t="str">
        <f t="shared" si="20"/>
        <v/>
      </c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  <c r="IO91"/>
      <c r="IP91"/>
      <c r="IQ91"/>
      <c r="IR91"/>
      <c r="IS91"/>
      <c r="IT91"/>
      <c r="IU91"/>
      <c r="IV91"/>
      <c r="IW91"/>
      <c r="IX91"/>
      <c r="IY91"/>
      <c r="IZ91"/>
    </row>
    <row r="92" spans="1:260" ht="16.5" customHeight="1">
      <c r="A92" s="181" t="s">
        <v>43</v>
      </c>
      <c r="B92" s="20"/>
      <c r="C92" s="20"/>
      <c r="D92" s="20"/>
      <c r="E92" s="38"/>
      <c r="F92" s="108" t="str">
        <f>IF(E92="","",VLOOKUP(E92,報名總表及收費!$I$29:$L$110,4))</f>
        <v/>
      </c>
      <c r="G92" s="73"/>
      <c r="H92" s="75" t="str">
        <f t="shared" ca="1" si="14"/>
        <v/>
      </c>
      <c r="I92" s="139"/>
      <c r="J92" s="74" t="str">
        <f t="shared" si="15"/>
        <v/>
      </c>
      <c r="K92" s="16"/>
      <c r="L92" s="16"/>
      <c r="M92" s="16"/>
      <c r="N92"/>
      <c r="O92"/>
      <c r="P92"/>
      <c r="Q92" s="68" t="str">
        <f t="shared" ca="1" si="16"/>
        <v/>
      </c>
      <c r="R92" s="6" t="str">
        <f t="shared" si="17"/>
        <v/>
      </c>
      <c r="S92" s="6" t="str">
        <f t="shared" si="18"/>
        <v/>
      </c>
      <c r="T92" s="1" t="str">
        <f t="shared" si="19"/>
        <v/>
      </c>
      <c r="U92" t="str">
        <f t="shared" si="20"/>
        <v/>
      </c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  <c r="IO92"/>
      <c r="IP92"/>
      <c r="IQ92"/>
      <c r="IR92"/>
      <c r="IS92"/>
      <c r="IT92"/>
      <c r="IU92"/>
      <c r="IV92"/>
      <c r="IW92"/>
      <c r="IX92"/>
      <c r="IY92"/>
      <c r="IZ92"/>
    </row>
    <row r="93" spans="1:260" ht="16.5" customHeight="1">
      <c r="A93" s="182"/>
      <c r="B93" s="20"/>
      <c r="C93" s="20"/>
      <c r="D93" s="20"/>
      <c r="E93" s="38"/>
      <c r="F93" s="108" t="str">
        <f>IF(E93="","",VLOOKUP(E93,報名總表及收費!$I$29:$L$110,4))</f>
        <v/>
      </c>
      <c r="G93" s="73"/>
      <c r="H93" s="75" t="str">
        <f t="shared" ca="1" si="14"/>
        <v/>
      </c>
      <c r="I93" s="139"/>
      <c r="J93" s="74" t="str">
        <f t="shared" si="15"/>
        <v/>
      </c>
      <c r="K93" s="16"/>
      <c r="L93" s="16"/>
      <c r="M93" s="16"/>
      <c r="N93"/>
      <c r="O93"/>
      <c r="P93"/>
      <c r="Q93" s="68" t="str">
        <f t="shared" ca="1" si="16"/>
        <v/>
      </c>
      <c r="R93" s="6" t="str">
        <f t="shared" si="17"/>
        <v/>
      </c>
      <c r="S93" s="6" t="str">
        <f t="shared" si="18"/>
        <v/>
      </c>
      <c r="T93" s="1" t="str">
        <f t="shared" si="19"/>
        <v/>
      </c>
      <c r="U93" t="str">
        <f t="shared" si="20"/>
        <v/>
      </c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  <c r="IO93"/>
      <c r="IP93"/>
      <c r="IQ93"/>
      <c r="IR93"/>
      <c r="IS93"/>
      <c r="IT93"/>
      <c r="IU93"/>
      <c r="IV93"/>
      <c r="IW93"/>
      <c r="IX93"/>
      <c r="IY93"/>
      <c r="IZ93"/>
    </row>
    <row r="94" spans="1:260" ht="16.5" customHeight="1">
      <c r="A94" s="182"/>
      <c r="B94" s="20"/>
      <c r="C94" s="20"/>
      <c r="D94" s="20"/>
      <c r="E94" s="38"/>
      <c r="F94" s="108" t="str">
        <f>IF(E94="","",VLOOKUP(E94,報名總表及收費!$I$29:$L$110,4))</f>
        <v/>
      </c>
      <c r="G94" s="73"/>
      <c r="H94" s="75" t="str">
        <f t="shared" ca="1" si="14"/>
        <v/>
      </c>
      <c r="I94" s="139"/>
      <c r="J94" s="74" t="str">
        <f t="shared" si="15"/>
        <v/>
      </c>
      <c r="K94" s="16"/>
      <c r="L94" s="16"/>
      <c r="M94" s="16"/>
      <c r="N94"/>
      <c r="O94"/>
      <c r="P94"/>
      <c r="Q94" s="68" t="str">
        <f t="shared" ca="1" si="16"/>
        <v/>
      </c>
      <c r="R94" s="6" t="str">
        <f t="shared" si="17"/>
        <v/>
      </c>
      <c r="S94" s="6" t="str">
        <f t="shared" si="18"/>
        <v/>
      </c>
      <c r="T94" s="1" t="str">
        <f t="shared" si="19"/>
        <v/>
      </c>
      <c r="U94" t="str">
        <f t="shared" si="20"/>
        <v/>
      </c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  <c r="IU94"/>
      <c r="IV94"/>
      <c r="IW94"/>
      <c r="IX94"/>
      <c r="IY94"/>
      <c r="IZ94"/>
    </row>
    <row r="95" spans="1:260" ht="16.5" customHeight="1">
      <c r="A95" s="183"/>
      <c r="B95" s="20"/>
      <c r="C95" s="20"/>
      <c r="D95" s="20"/>
      <c r="E95" s="38"/>
      <c r="F95" s="108" t="str">
        <f>IF(E95="","",VLOOKUP(E95,報名總表及收費!$I$29:$L$110,4))</f>
        <v/>
      </c>
      <c r="G95" s="73"/>
      <c r="H95" s="75" t="str">
        <f t="shared" ca="1" si="14"/>
        <v/>
      </c>
      <c r="I95" s="139"/>
      <c r="J95" s="74" t="str">
        <f t="shared" si="15"/>
        <v/>
      </c>
      <c r="K95" s="16"/>
      <c r="L95" s="16"/>
      <c r="M95" s="16"/>
      <c r="N95"/>
      <c r="O95"/>
      <c r="P95"/>
      <c r="Q95" s="68" t="str">
        <f t="shared" ca="1" si="16"/>
        <v/>
      </c>
      <c r="R95" s="6" t="str">
        <f t="shared" si="17"/>
        <v/>
      </c>
      <c r="S95" s="6" t="str">
        <f t="shared" si="18"/>
        <v/>
      </c>
      <c r="T95" s="1" t="str">
        <f t="shared" si="19"/>
        <v/>
      </c>
      <c r="U95" t="str">
        <f t="shared" si="20"/>
        <v/>
      </c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  <c r="IO95"/>
      <c r="IP95"/>
      <c r="IQ95"/>
      <c r="IR95"/>
      <c r="IS95"/>
      <c r="IT95"/>
      <c r="IU95"/>
      <c r="IV95"/>
      <c r="IW95"/>
      <c r="IX95"/>
      <c r="IY95"/>
      <c r="IZ95"/>
    </row>
    <row r="96" spans="1:260" ht="16.5" customHeight="1">
      <c r="A96" s="184" t="s">
        <v>44</v>
      </c>
      <c r="B96" s="19"/>
      <c r="C96" s="122"/>
      <c r="D96" s="19"/>
      <c r="E96" s="37"/>
      <c r="F96" s="107" t="str">
        <f>IF(E96="","",VLOOKUP(E96,報名總表及收費!$I$29:$L$110,4))</f>
        <v/>
      </c>
      <c r="G96" s="69"/>
      <c r="H96" s="72" t="str">
        <f t="shared" ca="1" si="14"/>
        <v/>
      </c>
      <c r="I96" s="138"/>
      <c r="J96" s="64" t="str">
        <f t="shared" si="15"/>
        <v/>
      </c>
      <c r="K96" s="16"/>
      <c r="L96" s="16"/>
      <c r="M96" s="16"/>
      <c r="N96"/>
      <c r="O96"/>
      <c r="P96"/>
      <c r="Q96" s="68" t="str">
        <f t="shared" ca="1" si="16"/>
        <v/>
      </c>
      <c r="R96" s="6" t="str">
        <f t="shared" si="17"/>
        <v/>
      </c>
      <c r="S96" s="6" t="str">
        <f t="shared" si="18"/>
        <v/>
      </c>
      <c r="T96" s="1" t="str">
        <f t="shared" si="19"/>
        <v/>
      </c>
      <c r="U96" t="str">
        <f t="shared" si="20"/>
        <v/>
      </c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  <c r="IO96"/>
      <c r="IP96"/>
      <c r="IQ96"/>
      <c r="IR96"/>
      <c r="IS96"/>
      <c r="IT96"/>
      <c r="IU96"/>
      <c r="IV96"/>
      <c r="IW96"/>
      <c r="IX96"/>
      <c r="IY96"/>
      <c r="IZ96"/>
    </row>
    <row r="97" spans="1:260" ht="16.5" customHeight="1">
      <c r="A97" s="185"/>
      <c r="B97" s="19"/>
      <c r="C97" s="19"/>
      <c r="D97" s="19"/>
      <c r="E97" s="37"/>
      <c r="F97" s="107" t="str">
        <f>IF(E97="","",VLOOKUP(E97,報名總表及收費!$I$29:$L$110,4))</f>
        <v/>
      </c>
      <c r="G97" s="69"/>
      <c r="H97" s="72" t="str">
        <f t="shared" ca="1" si="14"/>
        <v/>
      </c>
      <c r="I97" s="138"/>
      <c r="J97" s="64" t="str">
        <f t="shared" si="15"/>
        <v/>
      </c>
      <c r="K97" s="16"/>
      <c r="L97" s="16"/>
      <c r="M97" s="16"/>
      <c r="N97"/>
      <c r="O97"/>
      <c r="P97"/>
      <c r="Q97" s="68" t="str">
        <f t="shared" ca="1" si="16"/>
        <v/>
      </c>
      <c r="R97" s="6" t="str">
        <f t="shared" si="17"/>
        <v/>
      </c>
      <c r="S97" s="6" t="str">
        <f t="shared" si="18"/>
        <v/>
      </c>
      <c r="T97" s="1" t="str">
        <f t="shared" si="19"/>
        <v/>
      </c>
      <c r="U97" t="str">
        <f t="shared" si="20"/>
        <v/>
      </c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  <c r="IO97"/>
      <c r="IP97"/>
      <c r="IQ97"/>
      <c r="IR97"/>
      <c r="IS97"/>
      <c r="IT97"/>
      <c r="IU97"/>
      <c r="IV97"/>
      <c r="IW97"/>
      <c r="IX97"/>
      <c r="IY97"/>
      <c r="IZ97"/>
    </row>
    <row r="98" spans="1:260" ht="16.5" customHeight="1">
      <c r="A98" s="185"/>
      <c r="B98" s="19"/>
      <c r="C98" s="19"/>
      <c r="D98" s="19"/>
      <c r="E98" s="37"/>
      <c r="F98" s="107" t="str">
        <f>IF(E98="","",VLOOKUP(E98,報名總表及收費!$I$29:$L$110,4))</f>
        <v/>
      </c>
      <c r="G98" s="69"/>
      <c r="H98" s="72" t="str">
        <f t="shared" ca="1" si="14"/>
        <v/>
      </c>
      <c r="I98" s="138"/>
      <c r="J98" s="64" t="str">
        <f t="shared" si="15"/>
        <v/>
      </c>
      <c r="K98" s="16"/>
      <c r="L98" s="16"/>
      <c r="M98" s="16"/>
      <c r="N98"/>
      <c r="O98"/>
      <c r="P98"/>
      <c r="Q98" s="68" t="str">
        <f t="shared" ca="1" si="16"/>
        <v/>
      </c>
      <c r="R98" s="6" t="str">
        <f t="shared" si="17"/>
        <v/>
      </c>
      <c r="S98" s="6" t="str">
        <f t="shared" si="18"/>
        <v/>
      </c>
      <c r="T98" s="1" t="str">
        <f t="shared" si="19"/>
        <v/>
      </c>
      <c r="U98" t="str">
        <f t="shared" si="20"/>
        <v/>
      </c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  <c r="IO98"/>
      <c r="IP98"/>
      <c r="IQ98"/>
      <c r="IR98"/>
      <c r="IS98"/>
      <c r="IT98"/>
      <c r="IU98"/>
      <c r="IV98"/>
      <c r="IW98"/>
      <c r="IX98"/>
      <c r="IY98"/>
      <c r="IZ98"/>
    </row>
    <row r="99" spans="1:260" ht="16.5" customHeight="1">
      <c r="A99" s="186"/>
      <c r="B99" s="19"/>
      <c r="C99" s="19"/>
      <c r="D99" s="19"/>
      <c r="E99" s="37"/>
      <c r="F99" s="107" t="str">
        <f>IF(E99="","",VLOOKUP(E99,報名總表及收費!$I$29:$L$110,4))</f>
        <v/>
      </c>
      <c r="G99" s="69"/>
      <c r="H99" s="72" t="str">
        <f t="shared" ca="1" si="14"/>
        <v/>
      </c>
      <c r="I99" s="138"/>
      <c r="J99" s="64" t="str">
        <f t="shared" si="15"/>
        <v/>
      </c>
      <c r="K99" s="16"/>
      <c r="L99" s="16"/>
      <c r="M99" s="16"/>
      <c r="N99"/>
      <c r="O99"/>
      <c r="P99"/>
      <c r="Q99" s="68" t="str">
        <f t="shared" ca="1" si="16"/>
        <v/>
      </c>
      <c r="R99" s="6" t="str">
        <f t="shared" si="17"/>
        <v/>
      </c>
      <c r="S99" s="6" t="str">
        <f t="shared" si="18"/>
        <v/>
      </c>
      <c r="T99" s="1" t="str">
        <f t="shared" si="19"/>
        <v/>
      </c>
      <c r="U99" t="str">
        <f t="shared" si="20"/>
        <v/>
      </c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</row>
    <row r="100" spans="1:260" ht="16.5" customHeight="1">
      <c r="A100" s="181" t="s">
        <v>45</v>
      </c>
      <c r="B100" s="20"/>
      <c r="C100" s="20"/>
      <c r="D100" s="20"/>
      <c r="E100" s="38"/>
      <c r="F100" s="108" t="str">
        <f>IF(E100="","",VLOOKUP(E100,報名總表及收費!$I$29:$L$110,4))</f>
        <v/>
      </c>
      <c r="G100" s="73"/>
      <c r="H100" s="75" t="str">
        <f t="shared" ca="1" si="14"/>
        <v/>
      </c>
      <c r="I100" s="139"/>
      <c r="J100" s="74" t="str">
        <f t="shared" si="15"/>
        <v/>
      </c>
      <c r="K100" s="16"/>
      <c r="L100" s="16"/>
      <c r="M100" s="16"/>
      <c r="N100"/>
      <c r="O100"/>
      <c r="P100"/>
      <c r="Q100" s="68" t="str">
        <f t="shared" ca="1" si="16"/>
        <v/>
      </c>
      <c r="R100" s="6" t="str">
        <f t="shared" si="17"/>
        <v/>
      </c>
      <c r="S100" s="6" t="str">
        <f t="shared" si="18"/>
        <v/>
      </c>
      <c r="T100" s="1" t="str">
        <f t="shared" si="19"/>
        <v/>
      </c>
      <c r="U100" t="str">
        <f t="shared" si="20"/>
        <v/>
      </c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  <c r="IO100"/>
      <c r="IP100"/>
      <c r="IQ100"/>
      <c r="IR100"/>
      <c r="IS100"/>
      <c r="IT100"/>
      <c r="IU100"/>
      <c r="IV100"/>
      <c r="IW100"/>
      <c r="IX100"/>
      <c r="IY100"/>
      <c r="IZ100"/>
    </row>
    <row r="101" spans="1:260" ht="16.5" customHeight="1">
      <c r="A101" s="182"/>
      <c r="B101" s="20"/>
      <c r="C101" s="20"/>
      <c r="D101" s="20"/>
      <c r="E101" s="38"/>
      <c r="F101" s="108" t="str">
        <f>IF(E101="","",VLOOKUP(E101,報名總表及收費!$I$29:$L$110,4))</f>
        <v/>
      </c>
      <c r="G101" s="73"/>
      <c r="H101" s="75" t="str">
        <f t="shared" ca="1" si="14"/>
        <v/>
      </c>
      <c r="I101" s="139"/>
      <c r="J101" s="74" t="str">
        <f t="shared" si="15"/>
        <v/>
      </c>
      <c r="K101" s="16"/>
      <c r="L101" s="16"/>
      <c r="M101" s="16"/>
      <c r="N101"/>
      <c r="O101"/>
      <c r="P101"/>
      <c r="Q101" s="68" t="str">
        <f t="shared" ca="1" si="16"/>
        <v/>
      </c>
      <c r="R101" s="6" t="str">
        <f t="shared" si="17"/>
        <v/>
      </c>
      <c r="S101" s="6" t="str">
        <f t="shared" si="18"/>
        <v/>
      </c>
      <c r="T101" s="1" t="str">
        <f t="shared" si="19"/>
        <v/>
      </c>
      <c r="U101" t="str">
        <f t="shared" si="20"/>
        <v/>
      </c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  <c r="IN101"/>
      <c r="IO101"/>
      <c r="IP101"/>
      <c r="IQ101"/>
      <c r="IR101"/>
      <c r="IS101"/>
      <c r="IT101"/>
      <c r="IU101"/>
      <c r="IV101"/>
      <c r="IW101"/>
      <c r="IX101"/>
      <c r="IY101"/>
      <c r="IZ101"/>
    </row>
    <row r="102" spans="1:260" ht="16.5" customHeight="1">
      <c r="A102" s="182"/>
      <c r="B102" s="20"/>
      <c r="C102" s="20"/>
      <c r="D102" s="20"/>
      <c r="E102" s="38"/>
      <c r="F102" s="108" t="str">
        <f>IF(E102="","",VLOOKUP(E102,報名總表及收費!$I$29:$L$110,4))</f>
        <v/>
      </c>
      <c r="G102" s="73"/>
      <c r="H102" s="75" t="str">
        <f t="shared" ca="1" si="14"/>
        <v/>
      </c>
      <c r="I102" s="139"/>
      <c r="J102" s="74" t="str">
        <f t="shared" si="15"/>
        <v/>
      </c>
      <c r="K102" s="16"/>
      <c r="L102" s="16"/>
      <c r="M102" s="16"/>
      <c r="N102"/>
      <c r="O102"/>
      <c r="P102"/>
      <c r="Q102" s="68" t="str">
        <f t="shared" ca="1" si="16"/>
        <v/>
      </c>
      <c r="R102" s="6" t="str">
        <f t="shared" si="17"/>
        <v/>
      </c>
      <c r="S102" s="6" t="str">
        <f t="shared" si="18"/>
        <v/>
      </c>
      <c r="T102" s="1" t="str">
        <f t="shared" si="19"/>
        <v/>
      </c>
      <c r="U102" t="str">
        <f t="shared" si="20"/>
        <v/>
      </c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  <c r="IO102"/>
      <c r="IP102"/>
      <c r="IQ102"/>
      <c r="IR102"/>
      <c r="IS102"/>
      <c r="IT102"/>
      <c r="IU102"/>
      <c r="IV102"/>
      <c r="IW102"/>
      <c r="IX102"/>
      <c r="IY102"/>
      <c r="IZ102"/>
    </row>
    <row r="103" spans="1:260" ht="16.5" customHeight="1">
      <c r="A103" s="183"/>
      <c r="B103" s="20"/>
      <c r="C103" s="20"/>
      <c r="D103" s="20"/>
      <c r="E103" s="38"/>
      <c r="F103" s="108" t="str">
        <f>IF(E103="","",VLOOKUP(E103,報名總表及收費!$I$29:$L$110,4))</f>
        <v/>
      </c>
      <c r="G103" s="73"/>
      <c r="H103" s="75" t="str">
        <f t="shared" ca="1" si="14"/>
        <v/>
      </c>
      <c r="I103" s="139"/>
      <c r="J103" s="74" t="str">
        <f t="shared" si="15"/>
        <v/>
      </c>
      <c r="K103" s="6"/>
      <c r="L103" s="6"/>
      <c r="M103" s="6"/>
      <c r="O103"/>
      <c r="P103"/>
      <c r="Q103" s="68" t="str">
        <f t="shared" ca="1" si="16"/>
        <v/>
      </c>
      <c r="R103" s="6" t="str">
        <f t="shared" si="17"/>
        <v/>
      </c>
      <c r="S103" s="6" t="str">
        <f t="shared" si="18"/>
        <v/>
      </c>
      <c r="T103" s="1" t="str">
        <f t="shared" si="19"/>
        <v/>
      </c>
      <c r="U103" t="str">
        <f t="shared" si="20"/>
        <v/>
      </c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  <c r="IO103"/>
      <c r="IP103"/>
      <c r="IQ103"/>
      <c r="IR103"/>
      <c r="IS103"/>
      <c r="IT103"/>
      <c r="IU103"/>
      <c r="IV103"/>
      <c r="IW103"/>
      <c r="IX103"/>
      <c r="IY103"/>
      <c r="IZ103"/>
    </row>
    <row r="104" spans="1:260" ht="16.5" customHeight="1">
      <c r="A104" s="184" t="s">
        <v>46</v>
      </c>
      <c r="B104" s="19"/>
      <c r="C104" s="19"/>
      <c r="D104" s="19"/>
      <c r="E104" s="37"/>
      <c r="F104" s="107" t="str">
        <f>IF(E104="","",VLOOKUP(E104,報名總表及收費!$I$29:$L$110,4))</f>
        <v/>
      </c>
      <c r="G104" s="69"/>
      <c r="H104" s="72" t="str">
        <f t="shared" ca="1" si="14"/>
        <v/>
      </c>
      <c r="I104" s="138"/>
      <c r="J104" s="64" t="str">
        <f t="shared" si="15"/>
        <v/>
      </c>
      <c r="K104" s="6"/>
      <c r="L104" s="6"/>
      <c r="M104" s="6"/>
      <c r="O104"/>
      <c r="P104"/>
      <c r="Q104" s="68" t="str">
        <f t="shared" ca="1" si="16"/>
        <v/>
      </c>
      <c r="R104" s="6" t="str">
        <f t="shared" si="17"/>
        <v/>
      </c>
      <c r="S104" s="6" t="str">
        <f t="shared" si="18"/>
        <v/>
      </c>
      <c r="T104" s="1" t="str">
        <f t="shared" si="19"/>
        <v/>
      </c>
      <c r="U104" t="str">
        <f t="shared" si="20"/>
        <v/>
      </c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  <c r="IO104"/>
      <c r="IP104"/>
      <c r="IQ104"/>
      <c r="IR104"/>
      <c r="IS104"/>
      <c r="IT104"/>
      <c r="IU104"/>
      <c r="IV104"/>
      <c r="IW104"/>
      <c r="IX104"/>
      <c r="IY104"/>
      <c r="IZ104"/>
    </row>
    <row r="105" spans="1:260" ht="16.5" customHeight="1">
      <c r="A105" s="185"/>
      <c r="B105" s="19"/>
      <c r="C105" s="19"/>
      <c r="D105" s="19"/>
      <c r="E105" s="37"/>
      <c r="F105" s="107" t="str">
        <f>IF(E105="","",VLOOKUP(E105,報名總表及收費!$I$29:$L$110,4))</f>
        <v/>
      </c>
      <c r="G105" s="69"/>
      <c r="H105" s="72" t="str">
        <f t="shared" ca="1" si="14"/>
        <v/>
      </c>
      <c r="I105" s="138"/>
      <c r="J105" s="64" t="str">
        <f t="shared" si="15"/>
        <v/>
      </c>
      <c r="K105" s="6"/>
      <c r="L105" s="6"/>
      <c r="M105" s="6"/>
      <c r="O105"/>
      <c r="P105"/>
      <c r="Q105" s="68" t="str">
        <f t="shared" ca="1" si="16"/>
        <v/>
      </c>
      <c r="R105" s="6" t="str">
        <f t="shared" si="17"/>
        <v/>
      </c>
      <c r="S105" s="6" t="str">
        <f t="shared" si="18"/>
        <v/>
      </c>
      <c r="T105" s="1" t="str">
        <f t="shared" si="19"/>
        <v/>
      </c>
      <c r="U105" t="str">
        <f t="shared" si="20"/>
        <v/>
      </c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  <c r="IO105"/>
      <c r="IP105"/>
      <c r="IQ105"/>
      <c r="IR105"/>
      <c r="IS105"/>
      <c r="IT105"/>
      <c r="IU105"/>
      <c r="IV105"/>
      <c r="IW105"/>
      <c r="IX105"/>
      <c r="IY105"/>
      <c r="IZ105"/>
    </row>
    <row r="106" spans="1:260" ht="16.5" customHeight="1">
      <c r="A106" s="185"/>
      <c r="B106" s="19"/>
      <c r="C106" s="19"/>
      <c r="D106" s="19"/>
      <c r="E106" s="37"/>
      <c r="F106" s="107" t="str">
        <f>IF(E106="","",VLOOKUP(E106,報名總表及收費!$I$29:$L$110,4))</f>
        <v/>
      </c>
      <c r="G106" s="69"/>
      <c r="H106" s="72" t="str">
        <f t="shared" ca="1" si="14"/>
        <v/>
      </c>
      <c r="I106" s="138"/>
      <c r="J106" s="64" t="str">
        <f t="shared" si="15"/>
        <v/>
      </c>
      <c r="K106" s="6"/>
      <c r="L106" s="6"/>
      <c r="M106" s="6"/>
      <c r="O106"/>
      <c r="P106"/>
      <c r="Q106" s="68" t="str">
        <f t="shared" ca="1" si="16"/>
        <v/>
      </c>
      <c r="R106" s="6" t="str">
        <f t="shared" si="17"/>
        <v/>
      </c>
      <c r="S106" s="6" t="str">
        <f t="shared" si="18"/>
        <v/>
      </c>
      <c r="T106" s="1" t="str">
        <f t="shared" si="19"/>
        <v/>
      </c>
      <c r="U106" t="str">
        <f t="shared" si="20"/>
        <v/>
      </c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  <c r="IO106"/>
      <c r="IP106"/>
      <c r="IQ106"/>
      <c r="IR106"/>
      <c r="IS106"/>
      <c r="IT106"/>
      <c r="IU106"/>
      <c r="IV106"/>
      <c r="IW106"/>
      <c r="IX106"/>
      <c r="IY106"/>
      <c r="IZ106"/>
    </row>
    <row r="107" spans="1:260" ht="16.5" customHeight="1">
      <c r="A107" s="186"/>
      <c r="B107" s="19"/>
      <c r="C107" s="19"/>
      <c r="D107" s="19"/>
      <c r="E107" s="37"/>
      <c r="F107" s="107" t="str">
        <f>IF(E107="","",VLOOKUP(E107,報名總表及收費!$I$29:$L$110,4))</f>
        <v/>
      </c>
      <c r="G107" s="69"/>
      <c r="H107" s="72" t="str">
        <f t="shared" ca="1" si="14"/>
        <v/>
      </c>
      <c r="I107" s="138"/>
      <c r="J107" s="64" t="str">
        <f t="shared" si="15"/>
        <v/>
      </c>
      <c r="K107" s="6"/>
      <c r="L107" s="6"/>
      <c r="M107" s="6"/>
      <c r="O107"/>
      <c r="P107"/>
      <c r="Q107" s="68" t="str">
        <f t="shared" ca="1" si="16"/>
        <v/>
      </c>
      <c r="R107" s="6" t="str">
        <f t="shared" si="17"/>
        <v/>
      </c>
      <c r="S107" s="6" t="str">
        <f t="shared" si="18"/>
        <v/>
      </c>
      <c r="T107" s="1" t="str">
        <f t="shared" si="19"/>
        <v/>
      </c>
      <c r="U107" t="str">
        <f t="shared" si="20"/>
        <v/>
      </c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  <c r="IO107"/>
      <c r="IP107"/>
      <c r="IQ107"/>
      <c r="IR107"/>
      <c r="IS107"/>
      <c r="IT107"/>
      <c r="IU107"/>
      <c r="IV107"/>
      <c r="IW107"/>
      <c r="IX107"/>
      <c r="IY107"/>
      <c r="IZ107"/>
    </row>
    <row r="108" spans="1:260" ht="16.5" customHeight="1">
      <c r="A108" s="181" t="s">
        <v>47</v>
      </c>
      <c r="B108" s="20"/>
      <c r="C108" s="20"/>
      <c r="D108" s="20"/>
      <c r="E108" s="38"/>
      <c r="F108" s="108" t="str">
        <f>IF(E108="","",VLOOKUP(E108,報名總表及收費!$I$29:$L$110,4))</f>
        <v/>
      </c>
      <c r="G108" s="73"/>
      <c r="H108" s="75" t="str">
        <f t="shared" ca="1" si="14"/>
        <v/>
      </c>
      <c r="I108" s="139"/>
      <c r="J108" s="74" t="str">
        <f t="shared" si="15"/>
        <v/>
      </c>
      <c r="K108" s="6"/>
      <c r="L108" s="6"/>
      <c r="M108" s="6"/>
      <c r="O108"/>
      <c r="P108"/>
      <c r="Q108" s="68" t="str">
        <f t="shared" ca="1" si="16"/>
        <v/>
      </c>
      <c r="R108" s="6" t="str">
        <f t="shared" si="17"/>
        <v/>
      </c>
      <c r="S108" s="6" t="str">
        <f t="shared" si="18"/>
        <v/>
      </c>
      <c r="T108" s="1" t="str">
        <f t="shared" si="19"/>
        <v/>
      </c>
      <c r="U108" t="str">
        <f t="shared" si="20"/>
        <v/>
      </c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  <c r="IO108"/>
      <c r="IP108"/>
      <c r="IQ108"/>
      <c r="IR108"/>
      <c r="IS108"/>
      <c r="IT108"/>
      <c r="IU108"/>
      <c r="IV108"/>
      <c r="IW108"/>
      <c r="IX108"/>
      <c r="IY108"/>
      <c r="IZ108"/>
    </row>
    <row r="109" spans="1:260" ht="16.5" customHeight="1">
      <c r="A109" s="182"/>
      <c r="B109" s="20"/>
      <c r="C109" s="20"/>
      <c r="D109" s="20"/>
      <c r="E109" s="38"/>
      <c r="F109" s="108" t="str">
        <f>IF(E109="","",VLOOKUP(E109,報名總表及收費!$I$29:$L$110,4))</f>
        <v/>
      </c>
      <c r="G109" s="73"/>
      <c r="H109" s="75" t="str">
        <f t="shared" ca="1" si="14"/>
        <v/>
      </c>
      <c r="I109" s="139"/>
      <c r="J109" s="74" t="str">
        <f t="shared" si="15"/>
        <v/>
      </c>
      <c r="K109" s="6"/>
      <c r="L109" s="6"/>
      <c r="M109" s="6"/>
      <c r="O109"/>
      <c r="P109"/>
      <c r="Q109" s="68" t="str">
        <f t="shared" ca="1" si="16"/>
        <v/>
      </c>
      <c r="R109" s="6" t="str">
        <f t="shared" si="17"/>
        <v/>
      </c>
      <c r="S109" s="6" t="str">
        <f t="shared" si="18"/>
        <v/>
      </c>
      <c r="T109" s="1" t="str">
        <f t="shared" si="19"/>
        <v/>
      </c>
      <c r="U109" t="str">
        <f t="shared" si="20"/>
        <v/>
      </c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  <c r="IO109"/>
      <c r="IP109"/>
      <c r="IQ109"/>
      <c r="IR109"/>
      <c r="IS109"/>
      <c r="IT109"/>
      <c r="IU109"/>
      <c r="IV109"/>
      <c r="IW109"/>
      <c r="IX109"/>
      <c r="IY109"/>
      <c r="IZ109"/>
    </row>
    <row r="110" spans="1:260" ht="16.5" customHeight="1">
      <c r="A110" s="182"/>
      <c r="B110" s="20"/>
      <c r="C110" s="20"/>
      <c r="D110" s="20"/>
      <c r="E110" s="38"/>
      <c r="F110" s="108" t="str">
        <f>IF(E110="","",VLOOKUP(E110,報名總表及收費!$I$29:$L$110,4))</f>
        <v/>
      </c>
      <c r="G110" s="73"/>
      <c r="H110" s="75" t="str">
        <f t="shared" ca="1" si="14"/>
        <v/>
      </c>
      <c r="I110" s="139"/>
      <c r="J110" s="74" t="str">
        <f t="shared" si="15"/>
        <v/>
      </c>
      <c r="K110" s="6"/>
      <c r="L110" s="6"/>
      <c r="M110" s="6"/>
      <c r="O110"/>
      <c r="P110"/>
      <c r="Q110" s="68" t="str">
        <f t="shared" ca="1" si="16"/>
        <v/>
      </c>
      <c r="R110" s="6" t="str">
        <f t="shared" si="17"/>
        <v/>
      </c>
      <c r="S110" s="6" t="str">
        <f t="shared" si="18"/>
        <v/>
      </c>
      <c r="T110" s="1" t="str">
        <f t="shared" si="19"/>
        <v/>
      </c>
      <c r="U110" t="str">
        <f t="shared" si="20"/>
        <v/>
      </c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  <c r="IO110"/>
      <c r="IP110"/>
      <c r="IQ110"/>
      <c r="IR110"/>
      <c r="IS110"/>
      <c r="IT110"/>
      <c r="IU110"/>
      <c r="IV110"/>
      <c r="IW110"/>
      <c r="IX110"/>
      <c r="IY110"/>
      <c r="IZ110"/>
    </row>
    <row r="111" spans="1:260" ht="16.5" customHeight="1">
      <c r="A111" s="183"/>
      <c r="B111" s="20"/>
      <c r="C111" s="20"/>
      <c r="D111" s="20"/>
      <c r="E111" s="38"/>
      <c r="F111" s="108" t="str">
        <f>IF(E111="","",VLOOKUP(E111,報名總表及收費!$I$29:$L$110,4))</f>
        <v/>
      </c>
      <c r="G111" s="73"/>
      <c r="H111" s="75" t="str">
        <f t="shared" ca="1" si="14"/>
        <v/>
      </c>
      <c r="I111" s="139"/>
      <c r="J111" s="74" t="str">
        <f t="shared" si="15"/>
        <v/>
      </c>
      <c r="K111" s="6"/>
      <c r="L111" s="6"/>
      <c r="M111" s="6"/>
      <c r="O111"/>
      <c r="P111"/>
      <c r="Q111" s="68" t="str">
        <f t="shared" ca="1" si="16"/>
        <v/>
      </c>
      <c r="R111" s="6" t="str">
        <f t="shared" si="17"/>
        <v/>
      </c>
      <c r="S111" s="6" t="str">
        <f t="shared" si="18"/>
        <v/>
      </c>
      <c r="T111" s="1" t="str">
        <f t="shared" si="19"/>
        <v/>
      </c>
      <c r="U111" t="str">
        <f t="shared" si="20"/>
        <v/>
      </c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  <c r="IO111"/>
      <c r="IP111"/>
      <c r="IQ111"/>
      <c r="IR111"/>
      <c r="IS111"/>
      <c r="IT111"/>
      <c r="IU111"/>
      <c r="IV111"/>
      <c r="IW111"/>
      <c r="IX111"/>
      <c r="IY111"/>
      <c r="IZ111"/>
    </row>
    <row r="112" spans="1:260" ht="16.5" customHeight="1">
      <c r="A112" s="184" t="s">
        <v>48</v>
      </c>
      <c r="B112" s="19"/>
      <c r="C112" s="19"/>
      <c r="D112" s="19"/>
      <c r="E112" s="37"/>
      <c r="F112" s="107" t="str">
        <f>IF(E112="","",VLOOKUP(E112,報名總表及收費!$I$29:$L$110,4))</f>
        <v/>
      </c>
      <c r="G112" s="69"/>
      <c r="H112" s="72" t="str">
        <f t="shared" ca="1" si="14"/>
        <v/>
      </c>
      <c r="I112" s="138"/>
      <c r="J112" s="64" t="str">
        <f t="shared" si="15"/>
        <v/>
      </c>
      <c r="K112" s="6"/>
      <c r="L112" s="6"/>
      <c r="M112" s="6"/>
      <c r="O112"/>
      <c r="P112"/>
      <c r="Q112" s="68" t="str">
        <f t="shared" ca="1" si="16"/>
        <v/>
      </c>
      <c r="R112" s="6" t="str">
        <f t="shared" si="17"/>
        <v/>
      </c>
      <c r="S112" s="6" t="str">
        <f t="shared" si="18"/>
        <v/>
      </c>
      <c r="T112" s="1" t="str">
        <f t="shared" si="19"/>
        <v/>
      </c>
      <c r="U112" t="str">
        <f t="shared" si="20"/>
        <v/>
      </c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  <c r="IO112"/>
      <c r="IP112"/>
      <c r="IQ112"/>
      <c r="IR112"/>
      <c r="IS112"/>
      <c r="IT112"/>
      <c r="IU112"/>
      <c r="IV112"/>
      <c r="IW112"/>
      <c r="IX112"/>
      <c r="IY112"/>
      <c r="IZ112"/>
    </row>
    <row r="113" spans="1:260" ht="16.5" customHeight="1">
      <c r="A113" s="185"/>
      <c r="B113" s="19"/>
      <c r="C113" s="19"/>
      <c r="D113" s="19"/>
      <c r="E113" s="37"/>
      <c r="F113" s="107" t="str">
        <f>IF(E113="","",VLOOKUP(E113,報名總表及收費!$I$29:$L$110,4))</f>
        <v/>
      </c>
      <c r="G113" s="69"/>
      <c r="H113" s="72" t="str">
        <f t="shared" ca="1" si="14"/>
        <v/>
      </c>
      <c r="I113" s="138"/>
      <c r="J113" s="64" t="str">
        <f t="shared" si="15"/>
        <v/>
      </c>
      <c r="K113" s="6"/>
      <c r="L113" s="6"/>
      <c r="M113" s="6"/>
      <c r="O113"/>
      <c r="P113"/>
      <c r="Q113" s="68" t="str">
        <f t="shared" ca="1" si="16"/>
        <v/>
      </c>
      <c r="R113" s="6" t="str">
        <f t="shared" si="17"/>
        <v/>
      </c>
      <c r="S113" s="6" t="str">
        <f t="shared" si="18"/>
        <v/>
      </c>
      <c r="T113" s="1" t="str">
        <f t="shared" si="19"/>
        <v/>
      </c>
      <c r="U113" t="str">
        <f t="shared" si="20"/>
        <v/>
      </c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  <c r="IN113"/>
      <c r="IO113"/>
      <c r="IP113"/>
      <c r="IQ113"/>
      <c r="IR113"/>
      <c r="IS113"/>
      <c r="IT113"/>
      <c r="IU113"/>
      <c r="IV113"/>
      <c r="IW113"/>
      <c r="IX113"/>
      <c r="IY113"/>
      <c r="IZ113"/>
    </row>
    <row r="114" spans="1:260" ht="16.5" customHeight="1">
      <c r="A114" s="185"/>
      <c r="B114" s="19"/>
      <c r="C114" s="19"/>
      <c r="D114" s="19"/>
      <c r="E114" s="37"/>
      <c r="F114" s="107" t="str">
        <f>IF(E114="","",VLOOKUP(E114,報名總表及收費!$I$29:$L$110,4))</f>
        <v/>
      </c>
      <c r="G114" s="69"/>
      <c r="H114" s="72" t="str">
        <f t="shared" ca="1" si="14"/>
        <v/>
      </c>
      <c r="I114" s="138"/>
      <c r="J114" s="64" t="str">
        <f t="shared" si="15"/>
        <v/>
      </c>
      <c r="K114" s="6"/>
      <c r="L114" s="6"/>
      <c r="M114" s="6"/>
      <c r="O114"/>
      <c r="P114"/>
      <c r="Q114" s="68" t="str">
        <f t="shared" ca="1" si="16"/>
        <v/>
      </c>
      <c r="R114" s="6" t="str">
        <f t="shared" si="17"/>
        <v/>
      </c>
      <c r="S114" s="6" t="str">
        <f t="shared" si="18"/>
        <v/>
      </c>
      <c r="T114" s="1" t="str">
        <f t="shared" si="19"/>
        <v/>
      </c>
      <c r="U114" t="str">
        <f t="shared" si="20"/>
        <v/>
      </c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  <c r="IO114"/>
      <c r="IP114"/>
      <c r="IQ114"/>
      <c r="IR114"/>
      <c r="IS114"/>
      <c r="IT114"/>
      <c r="IU114"/>
      <c r="IV114"/>
      <c r="IW114"/>
      <c r="IX114"/>
      <c r="IY114"/>
      <c r="IZ114"/>
    </row>
    <row r="115" spans="1:260" ht="16.5" customHeight="1">
      <c r="A115" s="186"/>
      <c r="B115" s="19"/>
      <c r="C115" s="19"/>
      <c r="D115" s="19"/>
      <c r="E115" s="37"/>
      <c r="F115" s="107" t="str">
        <f>IF(E115="","",VLOOKUP(E115,報名總表及收費!$I$29:$L$110,4))</f>
        <v/>
      </c>
      <c r="G115" s="69"/>
      <c r="H115" s="72" t="str">
        <f t="shared" ca="1" si="14"/>
        <v/>
      </c>
      <c r="I115" s="138"/>
      <c r="J115" s="64" t="str">
        <f t="shared" si="15"/>
        <v/>
      </c>
      <c r="K115" s="6"/>
      <c r="L115" s="6"/>
      <c r="M115" s="6"/>
      <c r="O115"/>
      <c r="P115"/>
      <c r="Q115" s="68" t="str">
        <f t="shared" ca="1" si="16"/>
        <v/>
      </c>
      <c r="R115" s="6" t="str">
        <f t="shared" si="17"/>
        <v/>
      </c>
      <c r="S115" s="6" t="str">
        <f t="shared" si="18"/>
        <v/>
      </c>
      <c r="T115" s="1" t="str">
        <f t="shared" si="19"/>
        <v/>
      </c>
      <c r="U115" t="str">
        <f t="shared" si="20"/>
        <v/>
      </c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  <c r="IO115"/>
      <c r="IP115"/>
      <c r="IQ115"/>
      <c r="IR115"/>
      <c r="IS115"/>
      <c r="IT115"/>
      <c r="IU115"/>
      <c r="IV115"/>
      <c r="IW115"/>
      <c r="IX115"/>
      <c r="IY115"/>
      <c r="IZ115"/>
    </row>
    <row r="116" spans="1:260" ht="16.5" customHeight="1">
      <c r="A116" s="181" t="s">
        <v>49</v>
      </c>
      <c r="B116" s="20"/>
      <c r="C116" s="20"/>
      <c r="D116" s="20"/>
      <c r="E116" s="38"/>
      <c r="F116" s="108" t="str">
        <f>IF(E116="","",VLOOKUP(E116,報名總表及收費!$I$29:$L$110,4))</f>
        <v/>
      </c>
      <c r="G116" s="73"/>
      <c r="H116" s="75" t="str">
        <f t="shared" ca="1" si="14"/>
        <v/>
      </c>
      <c r="I116" s="139"/>
      <c r="J116" s="74" t="str">
        <f t="shared" si="15"/>
        <v/>
      </c>
      <c r="K116" s="6"/>
      <c r="L116" s="6"/>
      <c r="M116" s="6"/>
      <c r="O116"/>
      <c r="P116"/>
      <c r="Q116" s="68" t="str">
        <f t="shared" ca="1" si="16"/>
        <v/>
      </c>
      <c r="R116" s="6" t="str">
        <f t="shared" si="17"/>
        <v/>
      </c>
      <c r="S116" s="6" t="str">
        <f t="shared" si="18"/>
        <v/>
      </c>
      <c r="T116" s="1" t="str">
        <f t="shared" si="19"/>
        <v/>
      </c>
      <c r="U116" t="str">
        <f t="shared" si="20"/>
        <v/>
      </c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  <c r="IN116"/>
      <c r="IO116"/>
      <c r="IP116"/>
      <c r="IQ116"/>
      <c r="IR116"/>
      <c r="IS116"/>
      <c r="IT116"/>
      <c r="IU116"/>
      <c r="IV116"/>
      <c r="IW116"/>
      <c r="IX116"/>
      <c r="IY116"/>
      <c r="IZ116"/>
    </row>
    <row r="117" spans="1:260" ht="16.5" customHeight="1">
      <c r="A117" s="182"/>
      <c r="B117" s="20"/>
      <c r="C117" s="20"/>
      <c r="D117" s="20"/>
      <c r="E117" s="38"/>
      <c r="F117" s="108" t="str">
        <f>IF(E117="","",VLOOKUP(E117,報名總表及收費!$I$29:$L$110,4))</f>
        <v/>
      </c>
      <c r="G117" s="73"/>
      <c r="H117" s="75" t="str">
        <f t="shared" ca="1" si="14"/>
        <v/>
      </c>
      <c r="I117" s="139"/>
      <c r="J117" s="74" t="str">
        <f t="shared" si="15"/>
        <v/>
      </c>
      <c r="K117" s="6"/>
      <c r="L117" s="6"/>
      <c r="M117" s="6"/>
      <c r="O117"/>
      <c r="P117"/>
      <c r="Q117" s="68" t="str">
        <f t="shared" ca="1" si="16"/>
        <v/>
      </c>
      <c r="R117" s="6" t="str">
        <f t="shared" si="17"/>
        <v/>
      </c>
      <c r="S117" s="6" t="str">
        <f t="shared" si="18"/>
        <v/>
      </c>
      <c r="T117" s="1" t="str">
        <f t="shared" si="19"/>
        <v/>
      </c>
      <c r="U117" t="str">
        <f t="shared" si="20"/>
        <v/>
      </c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  <c r="IN117"/>
      <c r="IO117"/>
      <c r="IP117"/>
      <c r="IQ117"/>
      <c r="IR117"/>
      <c r="IS117"/>
      <c r="IT117"/>
      <c r="IU117"/>
      <c r="IV117"/>
      <c r="IW117"/>
      <c r="IX117"/>
      <c r="IY117"/>
      <c r="IZ117"/>
    </row>
    <row r="118" spans="1:260" ht="16.5" customHeight="1">
      <c r="A118" s="182"/>
      <c r="B118" s="20"/>
      <c r="C118" s="20"/>
      <c r="D118" s="20"/>
      <c r="E118" s="38"/>
      <c r="F118" s="108" t="str">
        <f>IF(E118="","",VLOOKUP(E118,報名總表及收費!$I$29:$L$110,4))</f>
        <v/>
      </c>
      <c r="G118" s="73"/>
      <c r="H118" s="75" t="str">
        <f t="shared" ca="1" si="14"/>
        <v/>
      </c>
      <c r="I118" s="139"/>
      <c r="J118" s="74" t="str">
        <f t="shared" si="15"/>
        <v/>
      </c>
      <c r="K118" s="6"/>
      <c r="L118" s="6"/>
      <c r="M118" s="6"/>
      <c r="O118"/>
      <c r="P118"/>
      <c r="Q118" s="68" t="str">
        <f t="shared" ca="1" si="16"/>
        <v/>
      </c>
      <c r="R118" s="6" t="str">
        <f t="shared" si="17"/>
        <v/>
      </c>
      <c r="S118" s="6" t="str">
        <f t="shared" si="18"/>
        <v/>
      </c>
      <c r="T118" s="1" t="str">
        <f t="shared" si="19"/>
        <v/>
      </c>
      <c r="U118" t="str">
        <f t="shared" si="20"/>
        <v/>
      </c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  <c r="IN118"/>
      <c r="IO118"/>
      <c r="IP118"/>
      <c r="IQ118"/>
      <c r="IR118"/>
      <c r="IS118"/>
      <c r="IT118"/>
      <c r="IU118"/>
      <c r="IV118"/>
      <c r="IW118"/>
      <c r="IX118"/>
      <c r="IY118"/>
      <c r="IZ118"/>
    </row>
    <row r="119" spans="1:260" ht="16.5" customHeight="1">
      <c r="A119" s="183"/>
      <c r="B119" s="20"/>
      <c r="C119" s="20"/>
      <c r="D119" s="20"/>
      <c r="E119" s="38"/>
      <c r="F119" s="108" t="str">
        <f>IF(E119="","",VLOOKUP(E119,報名總表及收費!$I$29:$L$110,4))</f>
        <v/>
      </c>
      <c r="G119" s="73"/>
      <c r="H119" s="75" t="str">
        <f t="shared" ca="1" si="14"/>
        <v/>
      </c>
      <c r="I119" s="139"/>
      <c r="J119" s="74" t="str">
        <f t="shared" si="15"/>
        <v/>
      </c>
      <c r="K119" s="6"/>
      <c r="L119" s="6"/>
      <c r="M119" s="6"/>
      <c r="Q119" s="68" t="str">
        <f t="shared" ca="1" si="16"/>
        <v/>
      </c>
      <c r="R119" s="6" t="str">
        <f t="shared" si="17"/>
        <v/>
      </c>
      <c r="S119" s="6" t="str">
        <f t="shared" si="18"/>
        <v/>
      </c>
      <c r="T119" s="1" t="str">
        <f t="shared" si="19"/>
        <v/>
      </c>
      <c r="U119" t="str">
        <f t="shared" si="20"/>
        <v/>
      </c>
      <c r="V119"/>
      <c r="W119"/>
      <c r="X119"/>
    </row>
    <row r="120" spans="1:260" ht="16.5" customHeight="1">
      <c r="A120" s="184" t="s">
        <v>50</v>
      </c>
      <c r="B120" s="19"/>
      <c r="C120" s="19"/>
      <c r="D120" s="19"/>
      <c r="E120" s="37"/>
      <c r="F120" s="107" t="str">
        <f>IF(E120="","",VLOOKUP(E120,報名總表及收費!$I$29:$L$110,4))</f>
        <v/>
      </c>
      <c r="G120" s="69"/>
      <c r="H120" s="72" t="str">
        <f t="shared" ca="1" si="14"/>
        <v/>
      </c>
      <c r="I120" s="138"/>
      <c r="J120" s="64" t="str">
        <f t="shared" si="15"/>
        <v/>
      </c>
      <c r="K120" s="6"/>
      <c r="L120" s="6"/>
      <c r="M120" s="6"/>
      <c r="Q120" s="68" t="str">
        <f t="shared" ca="1" si="16"/>
        <v/>
      </c>
      <c r="R120" s="6" t="str">
        <f t="shared" si="17"/>
        <v/>
      </c>
      <c r="S120" s="6" t="str">
        <f t="shared" si="18"/>
        <v/>
      </c>
      <c r="T120" s="1" t="str">
        <f t="shared" si="19"/>
        <v/>
      </c>
      <c r="U120" t="str">
        <f t="shared" si="20"/>
        <v/>
      </c>
      <c r="V120"/>
      <c r="W120"/>
      <c r="X120"/>
    </row>
    <row r="121" spans="1:260" ht="16.5" customHeight="1">
      <c r="A121" s="185"/>
      <c r="B121" s="19"/>
      <c r="C121" s="19"/>
      <c r="D121" s="19"/>
      <c r="E121" s="37"/>
      <c r="F121" s="107" t="str">
        <f>IF(E121="","",VLOOKUP(E121,報名總表及收費!$I$29:$L$110,4))</f>
        <v/>
      </c>
      <c r="G121" s="69"/>
      <c r="H121" s="72" t="str">
        <f t="shared" ca="1" si="14"/>
        <v/>
      </c>
      <c r="I121" s="138"/>
      <c r="J121" s="64" t="str">
        <f t="shared" si="15"/>
        <v/>
      </c>
      <c r="K121" s="6"/>
      <c r="L121" s="6"/>
      <c r="M121" s="6"/>
      <c r="Q121" s="68" t="str">
        <f t="shared" ca="1" si="16"/>
        <v/>
      </c>
      <c r="R121" s="6" t="str">
        <f t="shared" si="17"/>
        <v/>
      </c>
      <c r="S121" s="6" t="str">
        <f t="shared" si="18"/>
        <v/>
      </c>
      <c r="T121" s="1" t="str">
        <f t="shared" si="19"/>
        <v/>
      </c>
      <c r="U121" t="str">
        <f t="shared" si="20"/>
        <v/>
      </c>
      <c r="V121"/>
      <c r="W121"/>
      <c r="X121"/>
    </row>
    <row r="122" spans="1:260" ht="16.5" customHeight="1">
      <c r="A122" s="185"/>
      <c r="B122" s="19"/>
      <c r="C122" s="19"/>
      <c r="D122" s="19"/>
      <c r="E122" s="37"/>
      <c r="F122" s="107" t="str">
        <f>IF(E122="","",VLOOKUP(E122,報名總表及收費!$I$29:$L$110,4))</f>
        <v/>
      </c>
      <c r="G122" s="69"/>
      <c r="H122" s="72" t="str">
        <f t="shared" ca="1" si="14"/>
        <v/>
      </c>
      <c r="I122" s="138"/>
      <c r="J122" s="64" t="str">
        <f t="shared" si="15"/>
        <v/>
      </c>
      <c r="K122" s="6"/>
      <c r="L122" s="6"/>
      <c r="M122" s="6"/>
      <c r="Q122" s="68" t="str">
        <f t="shared" ca="1" si="16"/>
        <v/>
      </c>
      <c r="R122" s="6" t="str">
        <f t="shared" si="17"/>
        <v/>
      </c>
      <c r="S122" s="6" t="str">
        <f t="shared" si="18"/>
        <v/>
      </c>
      <c r="T122" s="1" t="str">
        <f t="shared" si="19"/>
        <v/>
      </c>
      <c r="U122" t="str">
        <f t="shared" si="20"/>
        <v/>
      </c>
      <c r="V122"/>
      <c r="W122"/>
      <c r="X122"/>
    </row>
    <row r="123" spans="1:260" ht="16.5" customHeight="1">
      <c r="A123" s="186"/>
      <c r="B123" s="19"/>
      <c r="C123" s="19"/>
      <c r="D123" s="19"/>
      <c r="E123" s="37"/>
      <c r="F123" s="107" t="str">
        <f>IF(E123="","",VLOOKUP(E123,報名總表及收費!$I$29:$L$110,4))</f>
        <v/>
      </c>
      <c r="G123" s="69"/>
      <c r="H123" s="72" t="str">
        <f t="shared" ca="1" si="14"/>
        <v/>
      </c>
      <c r="I123" s="138"/>
      <c r="J123" s="64" t="str">
        <f t="shared" si="15"/>
        <v/>
      </c>
      <c r="K123" s="6"/>
      <c r="L123" s="6"/>
      <c r="M123" s="6"/>
      <c r="Q123" s="68" t="str">
        <f t="shared" ca="1" si="16"/>
        <v/>
      </c>
      <c r="R123" s="6" t="str">
        <f t="shared" si="17"/>
        <v/>
      </c>
      <c r="S123" s="6" t="str">
        <f t="shared" si="18"/>
        <v/>
      </c>
      <c r="T123" s="1" t="str">
        <f t="shared" si="19"/>
        <v/>
      </c>
      <c r="U123" t="str">
        <f t="shared" si="20"/>
        <v/>
      </c>
      <c r="V123"/>
      <c r="W123"/>
      <c r="X123"/>
    </row>
    <row r="124" spans="1:260" ht="16.5" customHeight="1">
      <c r="A124" s="181" t="s">
        <v>51</v>
      </c>
      <c r="B124" s="20"/>
      <c r="C124" s="20"/>
      <c r="D124" s="20"/>
      <c r="E124" s="38"/>
      <c r="F124" s="108" t="str">
        <f>IF(E124="","",VLOOKUP(E124,報名總表及收費!$I$29:$L$110,4))</f>
        <v/>
      </c>
      <c r="G124" s="73"/>
      <c r="H124" s="75" t="str">
        <f t="shared" ca="1" si="14"/>
        <v/>
      </c>
      <c r="I124" s="139"/>
      <c r="J124" s="74" t="str">
        <f t="shared" si="15"/>
        <v/>
      </c>
      <c r="K124" s="6"/>
      <c r="L124" s="6"/>
      <c r="M124" s="6"/>
      <c r="Q124" s="68" t="str">
        <f t="shared" ca="1" si="16"/>
        <v/>
      </c>
      <c r="R124" s="6" t="str">
        <f t="shared" si="17"/>
        <v/>
      </c>
      <c r="S124" s="6" t="str">
        <f t="shared" si="18"/>
        <v/>
      </c>
      <c r="T124" s="1" t="str">
        <f t="shared" si="19"/>
        <v/>
      </c>
      <c r="U124" t="str">
        <f t="shared" si="20"/>
        <v/>
      </c>
      <c r="V124"/>
      <c r="W124"/>
      <c r="X124"/>
    </row>
    <row r="125" spans="1:260" ht="16.5" customHeight="1">
      <c r="A125" s="182"/>
      <c r="B125" s="20"/>
      <c r="C125" s="20"/>
      <c r="D125" s="20"/>
      <c r="E125" s="38"/>
      <c r="F125" s="108" t="str">
        <f>IF(E125="","",VLOOKUP(E125,報名總表及收費!$I$29:$L$110,4))</f>
        <v/>
      </c>
      <c r="G125" s="73"/>
      <c r="H125" s="75" t="str">
        <f t="shared" ca="1" si="14"/>
        <v/>
      </c>
      <c r="I125" s="139"/>
      <c r="J125" s="74" t="str">
        <f t="shared" si="15"/>
        <v/>
      </c>
      <c r="K125" s="6"/>
      <c r="L125" s="6"/>
      <c r="M125" s="6"/>
      <c r="Q125" s="68" t="str">
        <f t="shared" ca="1" si="16"/>
        <v/>
      </c>
      <c r="R125" s="6" t="str">
        <f t="shared" si="17"/>
        <v/>
      </c>
      <c r="S125" s="6" t="str">
        <f t="shared" si="18"/>
        <v/>
      </c>
      <c r="T125" s="1" t="str">
        <f t="shared" si="19"/>
        <v/>
      </c>
      <c r="U125" t="str">
        <f t="shared" si="20"/>
        <v/>
      </c>
      <c r="V125"/>
      <c r="W125"/>
      <c r="X125"/>
    </row>
    <row r="126" spans="1:260" ht="16.5" customHeight="1">
      <c r="A126" s="182"/>
      <c r="B126" s="20"/>
      <c r="C126" s="20"/>
      <c r="D126" s="20"/>
      <c r="E126" s="38"/>
      <c r="F126" s="108" t="str">
        <f>IF(E126="","",VLOOKUP(E126,報名總表及收費!$I$29:$L$110,4))</f>
        <v/>
      </c>
      <c r="G126" s="73"/>
      <c r="H126" s="75" t="str">
        <f t="shared" ca="1" si="14"/>
        <v/>
      </c>
      <c r="I126" s="139"/>
      <c r="J126" s="74" t="str">
        <f t="shared" si="15"/>
        <v/>
      </c>
      <c r="K126" s="6"/>
      <c r="L126" s="6"/>
      <c r="M126" s="6"/>
      <c r="Q126" s="68" t="str">
        <f t="shared" ca="1" si="16"/>
        <v/>
      </c>
      <c r="R126" s="6" t="str">
        <f t="shared" si="17"/>
        <v/>
      </c>
      <c r="S126" s="6" t="str">
        <f t="shared" si="18"/>
        <v/>
      </c>
      <c r="T126" s="1" t="str">
        <f t="shared" si="19"/>
        <v/>
      </c>
      <c r="U126" t="str">
        <f t="shared" si="20"/>
        <v/>
      </c>
      <c r="V126"/>
      <c r="W126"/>
      <c r="X126"/>
    </row>
    <row r="127" spans="1:260" ht="16.5" customHeight="1">
      <c r="A127" s="183"/>
      <c r="B127" s="20"/>
      <c r="C127" s="20"/>
      <c r="D127" s="20"/>
      <c r="E127" s="38"/>
      <c r="F127" s="108" t="str">
        <f>IF(E127="","",VLOOKUP(E127,報名總表及收費!$I$29:$L$110,4))</f>
        <v/>
      </c>
      <c r="G127" s="73"/>
      <c r="H127" s="75" t="str">
        <f t="shared" ca="1" si="14"/>
        <v/>
      </c>
      <c r="I127" s="139"/>
      <c r="J127" s="74" t="str">
        <f t="shared" si="15"/>
        <v/>
      </c>
      <c r="K127" s="6"/>
      <c r="L127"/>
      <c r="M127"/>
      <c r="Q127" s="68" t="str">
        <f t="shared" ca="1" si="16"/>
        <v/>
      </c>
      <c r="R127" s="6" t="str">
        <f t="shared" si="17"/>
        <v/>
      </c>
      <c r="S127" s="6" t="str">
        <f t="shared" si="18"/>
        <v/>
      </c>
      <c r="T127" s="1" t="str">
        <f t="shared" si="19"/>
        <v/>
      </c>
      <c r="U127" t="str">
        <f t="shared" si="20"/>
        <v/>
      </c>
      <c r="V127"/>
      <c r="W127"/>
      <c r="X127"/>
    </row>
    <row r="128" spans="1:260" ht="16.5" customHeight="1">
      <c r="A128" s="184" t="s">
        <v>121</v>
      </c>
      <c r="B128" s="19"/>
      <c r="C128" s="19"/>
      <c r="D128" s="19"/>
      <c r="E128" s="37"/>
      <c r="F128" s="107" t="str">
        <f>IF(E128="","",VLOOKUP(E128,報名總表及收費!$I$29:$L$110,4))</f>
        <v/>
      </c>
      <c r="G128" s="69"/>
      <c r="H128" s="72" t="str">
        <f t="shared" ref="H128:H159" ca="1" si="21">IF(D128=0,"",YEAR(NOW())-D128)</f>
        <v/>
      </c>
      <c r="I128" s="138"/>
      <c r="J128" s="64" t="str">
        <f t="shared" si="15"/>
        <v/>
      </c>
      <c r="K128" s="6"/>
      <c r="L128"/>
      <c r="M128"/>
      <c r="Q128" s="68" t="str">
        <f t="shared" ca="1" si="16"/>
        <v/>
      </c>
      <c r="R128" s="6" t="str">
        <f t="shared" si="17"/>
        <v/>
      </c>
      <c r="S128" s="6" t="str">
        <f t="shared" si="18"/>
        <v/>
      </c>
      <c r="T128" s="1" t="str">
        <f t="shared" si="19"/>
        <v/>
      </c>
      <c r="U128" t="str">
        <f t="shared" si="20"/>
        <v/>
      </c>
      <c r="V128"/>
      <c r="W128"/>
      <c r="X128"/>
    </row>
    <row r="129" spans="1:260" ht="16.5" customHeight="1">
      <c r="A129" s="185"/>
      <c r="B129" s="19"/>
      <c r="C129" s="19"/>
      <c r="D129" s="19"/>
      <c r="E129" s="37"/>
      <c r="F129" s="107" t="str">
        <f>IF(E129="","",VLOOKUP(E129,報名總表及收費!$I$29:$L$110,4))</f>
        <v/>
      </c>
      <c r="G129" s="69"/>
      <c r="H129" s="72" t="str">
        <f t="shared" ca="1" si="21"/>
        <v/>
      </c>
      <c r="I129" s="138"/>
      <c r="J129" s="64" t="str">
        <f t="shared" si="15"/>
        <v/>
      </c>
      <c r="K129" s="6"/>
      <c r="L129"/>
      <c r="M129"/>
      <c r="Q129" s="68" t="str">
        <f t="shared" ca="1" si="16"/>
        <v/>
      </c>
      <c r="R129" s="6" t="str">
        <f t="shared" si="17"/>
        <v/>
      </c>
      <c r="S129" s="6" t="str">
        <f t="shared" si="18"/>
        <v/>
      </c>
      <c r="T129" s="1" t="str">
        <f t="shared" si="19"/>
        <v/>
      </c>
      <c r="U129" t="str">
        <f t="shared" si="20"/>
        <v/>
      </c>
      <c r="V129"/>
      <c r="W129"/>
      <c r="X129"/>
    </row>
    <row r="130" spans="1:260" ht="16.5" customHeight="1">
      <c r="A130" s="185"/>
      <c r="B130" s="19"/>
      <c r="C130" s="19"/>
      <c r="D130" s="19"/>
      <c r="E130" s="37"/>
      <c r="F130" s="107" t="str">
        <f>IF(E130="","",VLOOKUP(E130,報名總表及收費!$I$29:$L$110,4))</f>
        <v/>
      </c>
      <c r="G130" s="69"/>
      <c r="H130" s="72" t="str">
        <f t="shared" ca="1" si="21"/>
        <v/>
      </c>
      <c r="I130" s="138"/>
      <c r="J130" s="64" t="str">
        <f t="shared" si="15"/>
        <v/>
      </c>
      <c r="K130" s="6"/>
      <c r="L130"/>
      <c r="M130"/>
      <c r="Q130" s="68" t="str">
        <f t="shared" ca="1" si="16"/>
        <v/>
      </c>
      <c r="R130" s="6" t="str">
        <f t="shared" si="17"/>
        <v/>
      </c>
      <c r="S130" s="6" t="str">
        <f t="shared" si="18"/>
        <v/>
      </c>
      <c r="T130" s="1" t="str">
        <f t="shared" si="19"/>
        <v/>
      </c>
      <c r="U130" t="str">
        <f t="shared" si="20"/>
        <v/>
      </c>
      <c r="V130"/>
      <c r="W130"/>
      <c r="X130"/>
    </row>
    <row r="131" spans="1:260" ht="16.5" customHeight="1">
      <c r="A131" s="186"/>
      <c r="B131" s="19"/>
      <c r="C131" s="19"/>
      <c r="D131" s="19"/>
      <c r="E131" s="37"/>
      <c r="F131" s="107" t="str">
        <f>IF(E131="","",VLOOKUP(E131,報名總表及收費!$I$29:$L$110,4))</f>
        <v/>
      </c>
      <c r="G131" s="69"/>
      <c r="H131" s="72" t="str">
        <f t="shared" ca="1" si="21"/>
        <v/>
      </c>
      <c r="I131" s="138"/>
      <c r="J131" s="64" t="str">
        <f t="shared" si="15"/>
        <v/>
      </c>
      <c r="K131" s="6"/>
      <c r="L131"/>
      <c r="M131"/>
      <c r="Q131" s="68" t="str">
        <f t="shared" ca="1" si="16"/>
        <v/>
      </c>
      <c r="R131" s="6" t="str">
        <f t="shared" si="17"/>
        <v/>
      </c>
      <c r="S131" s="6" t="str">
        <f t="shared" si="18"/>
        <v/>
      </c>
      <c r="T131" s="1" t="str">
        <f t="shared" si="19"/>
        <v/>
      </c>
      <c r="U131" t="str">
        <f t="shared" si="20"/>
        <v/>
      </c>
      <c r="V131"/>
      <c r="W131"/>
      <c r="X131"/>
    </row>
    <row r="132" spans="1:260" ht="16.5" customHeight="1">
      <c r="A132" s="181" t="s">
        <v>122</v>
      </c>
      <c r="B132" s="20"/>
      <c r="C132" s="20"/>
      <c r="D132" s="20"/>
      <c r="E132" s="38"/>
      <c r="F132" s="108" t="str">
        <f>IF(E132="","",VLOOKUP(E132,報名總表及收費!$I$29:$L$110,4))</f>
        <v/>
      </c>
      <c r="G132" s="73"/>
      <c r="H132" s="75" t="str">
        <f t="shared" ca="1" si="21"/>
        <v/>
      </c>
      <c r="I132" s="139"/>
      <c r="J132" s="74" t="str">
        <f t="shared" si="15"/>
        <v/>
      </c>
      <c r="K132" s="6"/>
      <c r="L132"/>
      <c r="M132"/>
      <c r="Q132" s="68" t="str">
        <f t="shared" ca="1" si="16"/>
        <v/>
      </c>
      <c r="R132" s="6" t="str">
        <f t="shared" si="17"/>
        <v/>
      </c>
      <c r="S132" s="6" t="str">
        <f t="shared" si="18"/>
        <v/>
      </c>
      <c r="T132" s="1" t="str">
        <f t="shared" si="19"/>
        <v/>
      </c>
      <c r="U132" t="str">
        <f t="shared" si="20"/>
        <v/>
      </c>
      <c r="V132"/>
      <c r="W132"/>
      <c r="X132"/>
    </row>
    <row r="133" spans="1:260" ht="16.5" customHeight="1">
      <c r="A133" s="182"/>
      <c r="B133" s="20"/>
      <c r="C133" s="20"/>
      <c r="D133" s="20"/>
      <c r="E133" s="38"/>
      <c r="F133" s="108" t="str">
        <f>IF(E133="","",VLOOKUP(E133,報名總表及收費!$I$29:$L$110,4))</f>
        <v/>
      </c>
      <c r="G133" s="73"/>
      <c r="H133" s="75" t="str">
        <f t="shared" ca="1" si="21"/>
        <v/>
      </c>
      <c r="I133" s="139"/>
      <c r="J133" s="74" t="str">
        <f t="shared" si="15"/>
        <v/>
      </c>
      <c r="K133" s="6"/>
      <c r="L133"/>
      <c r="M133"/>
      <c r="Q133" s="68" t="str">
        <f t="shared" ca="1" si="16"/>
        <v/>
      </c>
      <c r="R133" s="6" t="str">
        <f t="shared" si="17"/>
        <v/>
      </c>
      <c r="S133" s="6" t="str">
        <f t="shared" si="18"/>
        <v/>
      </c>
      <c r="T133" s="1" t="str">
        <f t="shared" si="19"/>
        <v/>
      </c>
      <c r="U133" t="str">
        <f t="shared" si="20"/>
        <v/>
      </c>
      <c r="V133"/>
      <c r="W133"/>
      <c r="X133"/>
    </row>
    <row r="134" spans="1:260" ht="16.5" customHeight="1">
      <c r="A134" s="182"/>
      <c r="B134" s="20"/>
      <c r="C134" s="20"/>
      <c r="D134" s="20"/>
      <c r="E134" s="38"/>
      <c r="F134" s="108" t="str">
        <f>IF(E134="","",VLOOKUP(E134,報名總表及收費!$I$29:$L$110,4))</f>
        <v/>
      </c>
      <c r="G134" s="73"/>
      <c r="H134" s="75" t="str">
        <f t="shared" ca="1" si="21"/>
        <v/>
      </c>
      <c r="I134" s="139"/>
      <c r="J134" s="74" t="str">
        <f t="shared" si="15"/>
        <v/>
      </c>
      <c r="L134"/>
      <c r="M134"/>
      <c r="Q134" s="68" t="str">
        <f t="shared" ca="1" si="16"/>
        <v/>
      </c>
      <c r="R134" s="6" t="str">
        <f t="shared" si="17"/>
        <v/>
      </c>
      <c r="S134" s="6" t="str">
        <f t="shared" si="18"/>
        <v/>
      </c>
      <c r="T134" s="1" t="str">
        <f t="shared" si="19"/>
        <v/>
      </c>
      <c r="U134" t="str">
        <f t="shared" si="20"/>
        <v/>
      </c>
      <c r="V134"/>
      <c r="W134"/>
      <c r="X134"/>
    </row>
    <row r="135" spans="1:260" ht="16.5" customHeight="1">
      <c r="A135" s="183"/>
      <c r="B135" s="20"/>
      <c r="C135" s="20"/>
      <c r="D135" s="20"/>
      <c r="E135" s="38"/>
      <c r="F135" s="108" t="str">
        <f>IF(E135="","",VLOOKUP(E135,報名總表及收費!$I$29:$L$110,4))</f>
        <v/>
      </c>
      <c r="G135" s="73"/>
      <c r="H135" s="75" t="str">
        <f t="shared" ca="1" si="21"/>
        <v/>
      </c>
      <c r="I135" s="139"/>
      <c r="J135" s="74" t="str">
        <f t="shared" si="15"/>
        <v/>
      </c>
      <c r="K135"/>
      <c r="N135"/>
      <c r="O135"/>
      <c r="P135"/>
      <c r="Q135" s="68" t="str">
        <f t="shared" ca="1" si="16"/>
        <v/>
      </c>
      <c r="R135" s="6" t="str">
        <f t="shared" si="17"/>
        <v/>
      </c>
      <c r="S135" s="6" t="str">
        <f t="shared" si="18"/>
        <v/>
      </c>
      <c r="T135" s="1" t="str">
        <f t="shared" si="19"/>
        <v/>
      </c>
      <c r="U135" t="str">
        <f t="shared" si="20"/>
        <v/>
      </c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  <c r="IN135"/>
      <c r="IO135"/>
      <c r="IP135"/>
      <c r="IQ135"/>
      <c r="IR135"/>
      <c r="IS135"/>
      <c r="IT135"/>
      <c r="IU135"/>
      <c r="IV135"/>
      <c r="IW135"/>
      <c r="IX135"/>
      <c r="IY135"/>
      <c r="IZ135"/>
    </row>
    <row r="136" spans="1:260" ht="16.5" customHeight="1">
      <c r="A136" s="184" t="s">
        <v>123</v>
      </c>
      <c r="B136" s="19"/>
      <c r="C136" s="19"/>
      <c r="D136" s="19"/>
      <c r="E136" s="37"/>
      <c r="F136" s="107" t="str">
        <f>IF(E136="","",VLOOKUP(E136,報名總表及收費!$I$29:$L$110,4))</f>
        <v/>
      </c>
      <c r="G136" s="69"/>
      <c r="H136" s="72" t="str">
        <f t="shared" ca="1" si="21"/>
        <v/>
      </c>
      <c r="I136" s="138"/>
      <c r="J136" s="64" t="str">
        <f t="shared" si="15"/>
        <v/>
      </c>
      <c r="K136"/>
      <c r="N136"/>
      <c r="O136"/>
      <c r="P136"/>
      <c r="Q136" s="68" t="str">
        <f t="shared" ca="1" si="16"/>
        <v/>
      </c>
      <c r="R136" s="6" t="str">
        <f t="shared" si="17"/>
        <v/>
      </c>
      <c r="S136" s="6" t="str">
        <f t="shared" si="18"/>
        <v/>
      </c>
      <c r="T136" s="1" t="str">
        <f t="shared" si="19"/>
        <v/>
      </c>
      <c r="U136" t="str">
        <f t="shared" si="20"/>
        <v/>
      </c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  <c r="IN136"/>
      <c r="IO136"/>
      <c r="IP136"/>
      <c r="IQ136"/>
      <c r="IR136"/>
      <c r="IS136"/>
      <c r="IT136"/>
      <c r="IU136"/>
      <c r="IV136"/>
      <c r="IW136"/>
      <c r="IX136"/>
      <c r="IY136"/>
      <c r="IZ136"/>
    </row>
    <row r="137" spans="1:260" ht="16.5" customHeight="1">
      <c r="A137" s="185"/>
      <c r="B137" s="19"/>
      <c r="C137" s="19"/>
      <c r="D137" s="19"/>
      <c r="E137" s="37"/>
      <c r="F137" s="107" t="str">
        <f>IF(E137="","",VLOOKUP(E137,報名總表及收費!$I$29:$L$110,4))</f>
        <v/>
      </c>
      <c r="G137" s="69"/>
      <c r="H137" s="72" t="str">
        <f t="shared" ca="1" si="21"/>
        <v/>
      </c>
      <c r="I137" s="138"/>
      <c r="J137" s="64" t="str">
        <f t="shared" si="15"/>
        <v/>
      </c>
      <c r="K137"/>
      <c r="N137"/>
      <c r="O137"/>
      <c r="P137"/>
      <c r="Q137" s="68" t="str">
        <f t="shared" ca="1" si="16"/>
        <v/>
      </c>
      <c r="R137" s="6" t="str">
        <f t="shared" si="17"/>
        <v/>
      </c>
      <c r="S137" s="6" t="str">
        <f t="shared" si="18"/>
        <v/>
      </c>
      <c r="T137" s="1" t="str">
        <f t="shared" si="19"/>
        <v/>
      </c>
      <c r="U137" t="str">
        <f t="shared" si="20"/>
        <v/>
      </c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  <c r="IN137"/>
      <c r="IO137"/>
      <c r="IP137"/>
      <c r="IQ137"/>
      <c r="IR137"/>
      <c r="IS137"/>
      <c r="IT137"/>
      <c r="IU137"/>
      <c r="IV137"/>
      <c r="IW137"/>
      <c r="IX137"/>
      <c r="IY137"/>
      <c r="IZ137"/>
    </row>
    <row r="138" spans="1:260" ht="16.5" customHeight="1">
      <c r="A138" s="185"/>
      <c r="B138" s="19"/>
      <c r="C138" s="19"/>
      <c r="D138" s="19"/>
      <c r="E138" s="37"/>
      <c r="F138" s="107" t="str">
        <f>IF(E138="","",VLOOKUP(E138,報名總表及收費!$I$29:$L$110,4))</f>
        <v/>
      </c>
      <c r="G138" s="69"/>
      <c r="H138" s="72" t="str">
        <f t="shared" ca="1" si="21"/>
        <v/>
      </c>
      <c r="I138" s="138"/>
      <c r="J138" s="64" t="str">
        <f t="shared" si="15"/>
        <v/>
      </c>
      <c r="K138"/>
      <c r="N138"/>
      <c r="O138"/>
      <c r="P138"/>
      <c r="Q138" s="68" t="str">
        <f t="shared" ca="1" si="16"/>
        <v/>
      </c>
      <c r="R138" s="6" t="str">
        <f t="shared" si="17"/>
        <v/>
      </c>
      <c r="S138" s="6" t="str">
        <f t="shared" si="18"/>
        <v/>
      </c>
      <c r="T138" s="1" t="str">
        <f t="shared" si="19"/>
        <v/>
      </c>
      <c r="U138" t="str">
        <f t="shared" si="20"/>
        <v/>
      </c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  <c r="IN138"/>
      <c r="IO138"/>
      <c r="IP138"/>
      <c r="IQ138"/>
      <c r="IR138"/>
      <c r="IS138"/>
      <c r="IT138"/>
      <c r="IU138"/>
      <c r="IV138"/>
      <c r="IW138"/>
      <c r="IX138"/>
      <c r="IY138"/>
      <c r="IZ138"/>
    </row>
    <row r="139" spans="1:260" ht="16.5" customHeight="1">
      <c r="A139" s="186"/>
      <c r="B139" s="19"/>
      <c r="C139" s="19"/>
      <c r="D139" s="19"/>
      <c r="E139" s="37"/>
      <c r="F139" s="107" t="str">
        <f>IF(E139="","",VLOOKUP(E139,報名總表及收費!$I$29:$L$110,4))</f>
        <v/>
      </c>
      <c r="G139" s="69"/>
      <c r="H139" s="72" t="str">
        <f t="shared" ca="1" si="21"/>
        <v/>
      </c>
      <c r="I139" s="138"/>
      <c r="J139" s="64" t="str">
        <f t="shared" si="15"/>
        <v/>
      </c>
      <c r="K139"/>
      <c r="N139"/>
      <c r="O139"/>
      <c r="P139"/>
      <c r="Q139" s="68" t="str">
        <f t="shared" ca="1" si="16"/>
        <v/>
      </c>
      <c r="R139" s="6" t="str">
        <f t="shared" si="17"/>
        <v/>
      </c>
      <c r="S139" s="6" t="str">
        <f t="shared" si="18"/>
        <v/>
      </c>
      <c r="T139" s="1" t="str">
        <f t="shared" si="19"/>
        <v/>
      </c>
      <c r="U139" t="str">
        <f t="shared" si="20"/>
        <v/>
      </c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  <c r="IN139"/>
      <c r="IO139"/>
      <c r="IP139"/>
      <c r="IQ139"/>
      <c r="IR139"/>
      <c r="IS139"/>
      <c r="IT139"/>
      <c r="IU139"/>
      <c r="IV139"/>
      <c r="IW139"/>
      <c r="IX139"/>
      <c r="IY139"/>
      <c r="IZ139"/>
    </row>
    <row r="140" spans="1:260" ht="16.5" customHeight="1">
      <c r="A140" s="181" t="s">
        <v>124</v>
      </c>
      <c r="B140" s="20"/>
      <c r="C140" s="20"/>
      <c r="D140" s="20"/>
      <c r="E140" s="38"/>
      <c r="F140" s="108" t="str">
        <f>IF(E140="","",VLOOKUP(E140,報名總表及收費!$I$29:$L$110,4))</f>
        <v/>
      </c>
      <c r="G140" s="73"/>
      <c r="H140" s="75" t="str">
        <f t="shared" ca="1" si="21"/>
        <v/>
      </c>
      <c r="I140" s="139"/>
      <c r="J140" s="74" t="str">
        <f t="shared" si="15"/>
        <v/>
      </c>
      <c r="K140"/>
      <c r="N140"/>
      <c r="O140"/>
      <c r="P140"/>
      <c r="Q140" s="68" t="str">
        <f t="shared" ca="1" si="16"/>
        <v/>
      </c>
      <c r="R140" s="6" t="str">
        <f t="shared" si="17"/>
        <v/>
      </c>
      <c r="S140" s="6" t="str">
        <f t="shared" si="18"/>
        <v/>
      </c>
      <c r="T140" s="1" t="str">
        <f t="shared" si="19"/>
        <v/>
      </c>
      <c r="U140" t="str">
        <f t="shared" si="20"/>
        <v/>
      </c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  <c r="IJ140"/>
      <c r="IK140"/>
      <c r="IL140"/>
      <c r="IM140"/>
      <c r="IN140"/>
      <c r="IO140"/>
      <c r="IP140"/>
      <c r="IQ140"/>
      <c r="IR140"/>
      <c r="IS140"/>
      <c r="IT140"/>
      <c r="IU140"/>
      <c r="IV140"/>
      <c r="IW140"/>
      <c r="IX140"/>
      <c r="IY140"/>
      <c r="IZ140"/>
    </row>
    <row r="141" spans="1:260" ht="16.5" customHeight="1">
      <c r="A141" s="182"/>
      <c r="B141" s="20"/>
      <c r="C141" s="20"/>
      <c r="D141" s="20"/>
      <c r="E141" s="38"/>
      <c r="F141" s="108" t="str">
        <f>IF(E141="","",VLOOKUP(E141,報名總表及收費!$I$29:$L$110,4))</f>
        <v/>
      </c>
      <c r="G141" s="73"/>
      <c r="H141" s="75" t="str">
        <f t="shared" ca="1" si="21"/>
        <v/>
      </c>
      <c r="I141" s="139"/>
      <c r="J141" s="74" t="str">
        <f t="shared" si="15"/>
        <v/>
      </c>
      <c r="K141"/>
      <c r="N141"/>
      <c r="O141"/>
      <c r="P141"/>
      <c r="Q141" s="68" t="str">
        <f t="shared" ca="1" si="16"/>
        <v/>
      </c>
      <c r="R141" s="6" t="str">
        <f t="shared" si="17"/>
        <v/>
      </c>
      <c r="S141" s="6" t="str">
        <f t="shared" si="18"/>
        <v/>
      </c>
      <c r="T141" s="1" t="str">
        <f t="shared" si="19"/>
        <v/>
      </c>
      <c r="U141" t="str">
        <f t="shared" si="20"/>
        <v/>
      </c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  <c r="II141"/>
      <c r="IJ141"/>
      <c r="IK141"/>
      <c r="IL141"/>
      <c r="IM141"/>
      <c r="IN141"/>
      <c r="IO141"/>
      <c r="IP141"/>
      <c r="IQ141"/>
      <c r="IR141"/>
      <c r="IS141"/>
      <c r="IT141"/>
      <c r="IU141"/>
      <c r="IV141"/>
      <c r="IW141"/>
      <c r="IX141"/>
      <c r="IY141"/>
      <c r="IZ141"/>
    </row>
    <row r="142" spans="1:260" ht="16.5" customHeight="1">
      <c r="A142" s="182"/>
      <c r="B142" s="20"/>
      <c r="C142" s="20"/>
      <c r="D142" s="20"/>
      <c r="E142" s="38"/>
      <c r="F142" s="108" t="str">
        <f>IF(E142="","",VLOOKUP(E142,報名總表及收費!$I$29:$L$110,4))</f>
        <v/>
      </c>
      <c r="G142" s="73"/>
      <c r="H142" s="75" t="str">
        <f t="shared" ca="1" si="21"/>
        <v/>
      </c>
      <c r="I142" s="139"/>
      <c r="J142" s="74" t="str">
        <f t="shared" si="15"/>
        <v/>
      </c>
      <c r="K142"/>
      <c r="N142"/>
      <c r="O142"/>
      <c r="P142"/>
      <c r="Q142" s="68" t="str">
        <f t="shared" ca="1" si="16"/>
        <v/>
      </c>
      <c r="R142" s="6" t="str">
        <f t="shared" si="17"/>
        <v/>
      </c>
      <c r="S142" s="6" t="str">
        <f t="shared" si="18"/>
        <v/>
      </c>
      <c r="T142" s="1" t="str">
        <f t="shared" si="19"/>
        <v/>
      </c>
      <c r="U142" t="str">
        <f t="shared" si="20"/>
        <v/>
      </c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  <c r="II142"/>
      <c r="IJ142"/>
      <c r="IK142"/>
      <c r="IL142"/>
      <c r="IM142"/>
      <c r="IN142"/>
      <c r="IO142"/>
      <c r="IP142"/>
      <c r="IQ142"/>
      <c r="IR142"/>
      <c r="IS142"/>
      <c r="IT142"/>
      <c r="IU142"/>
      <c r="IV142"/>
      <c r="IW142"/>
      <c r="IX142"/>
      <c r="IY142"/>
      <c r="IZ142"/>
    </row>
    <row r="143" spans="1:260" ht="16.5" customHeight="1">
      <c r="A143" s="183"/>
      <c r="B143" s="20"/>
      <c r="C143" s="20"/>
      <c r="D143" s="20"/>
      <c r="E143" s="38"/>
      <c r="F143" s="108" t="str">
        <f>IF(E143="","",VLOOKUP(E143,報名總表及收費!$I$29:$L$110,4))</f>
        <v/>
      </c>
      <c r="G143" s="73"/>
      <c r="H143" s="75" t="str">
        <f t="shared" ca="1" si="21"/>
        <v/>
      </c>
      <c r="I143" s="139"/>
      <c r="J143" s="74" t="str">
        <f t="shared" si="15"/>
        <v/>
      </c>
      <c r="Q143" s="68" t="str">
        <f t="shared" ca="1" si="16"/>
        <v/>
      </c>
      <c r="R143" s="6" t="str">
        <f t="shared" si="17"/>
        <v/>
      </c>
      <c r="S143" s="6" t="str">
        <f t="shared" si="18"/>
        <v/>
      </c>
      <c r="T143" s="1" t="str">
        <f t="shared" si="19"/>
        <v/>
      </c>
      <c r="U143" t="str">
        <f t="shared" si="20"/>
        <v/>
      </c>
      <c r="V143"/>
      <c r="W143"/>
      <c r="X143"/>
    </row>
    <row r="144" spans="1:260" ht="16.5" customHeight="1">
      <c r="A144" s="184" t="s">
        <v>125</v>
      </c>
      <c r="B144" s="19"/>
      <c r="C144" s="19"/>
      <c r="D144" s="19"/>
      <c r="E144" s="37"/>
      <c r="F144" s="107" t="str">
        <f>IF(E144="","",VLOOKUP(E144,報名總表及收費!$I$29:$L$110,4))</f>
        <v/>
      </c>
      <c r="G144" s="69"/>
      <c r="H144" s="72" t="str">
        <f t="shared" ca="1" si="21"/>
        <v/>
      </c>
      <c r="I144" s="138"/>
      <c r="J144" s="64" t="str">
        <f t="shared" si="15"/>
        <v/>
      </c>
      <c r="Q144" s="68" t="str">
        <f t="shared" ca="1" si="16"/>
        <v/>
      </c>
      <c r="R144" s="6" t="str">
        <f t="shared" si="17"/>
        <v/>
      </c>
      <c r="S144" s="6" t="str">
        <f t="shared" si="18"/>
        <v/>
      </c>
      <c r="T144" s="1" t="str">
        <f t="shared" si="19"/>
        <v/>
      </c>
      <c r="U144" t="str">
        <f t="shared" si="20"/>
        <v/>
      </c>
      <c r="V144"/>
      <c r="W144"/>
      <c r="X144"/>
    </row>
    <row r="145" spans="1:24" ht="16.5" customHeight="1">
      <c r="A145" s="185"/>
      <c r="B145" s="19"/>
      <c r="C145" s="19"/>
      <c r="D145" s="19"/>
      <c r="E145" s="37"/>
      <c r="F145" s="107" t="str">
        <f>IF(E145="","",VLOOKUP(E145,報名總表及收費!$I$29:$L$110,4))</f>
        <v/>
      </c>
      <c r="G145" s="69"/>
      <c r="H145" s="72" t="str">
        <f t="shared" ca="1" si="21"/>
        <v/>
      </c>
      <c r="I145" s="138"/>
      <c r="J145" s="64" t="str">
        <f t="shared" si="15"/>
        <v/>
      </c>
      <c r="Q145" s="68" t="str">
        <f t="shared" ca="1" si="16"/>
        <v/>
      </c>
      <c r="R145" s="6" t="str">
        <f t="shared" si="17"/>
        <v/>
      </c>
      <c r="S145" s="6" t="str">
        <f t="shared" si="18"/>
        <v/>
      </c>
      <c r="T145" s="1" t="str">
        <f t="shared" si="19"/>
        <v/>
      </c>
      <c r="U145" t="str">
        <f t="shared" si="20"/>
        <v/>
      </c>
      <c r="V145"/>
      <c r="W145"/>
      <c r="X145"/>
    </row>
    <row r="146" spans="1:24" ht="16.5" customHeight="1">
      <c r="A146" s="185"/>
      <c r="B146" s="19"/>
      <c r="C146" s="19"/>
      <c r="D146" s="19"/>
      <c r="E146" s="37"/>
      <c r="F146" s="107" t="str">
        <f>IF(E146="","",VLOOKUP(E146,報名總表及收費!$I$29:$L$110,4))</f>
        <v/>
      </c>
      <c r="G146" s="69"/>
      <c r="H146" s="72" t="str">
        <f t="shared" ca="1" si="21"/>
        <v/>
      </c>
      <c r="I146" s="138"/>
      <c r="J146" s="64" t="str">
        <f t="shared" si="15"/>
        <v/>
      </c>
      <c r="Q146" s="68" t="str">
        <f t="shared" ca="1" si="16"/>
        <v/>
      </c>
      <c r="R146" s="6" t="str">
        <f t="shared" si="17"/>
        <v/>
      </c>
      <c r="S146" s="6" t="str">
        <f t="shared" si="18"/>
        <v/>
      </c>
      <c r="T146" s="1" t="str">
        <f t="shared" si="19"/>
        <v/>
      </c>
      <c r="U146" t="str">
        <f t="shared" si="20"/>
        <v/>
      </c>
      <c r="V146"/>
      <c r="W146"/>
      <c r="X146"/>
    </row>
    <row r="147" spans="1:24" ht="16.5" customHeight="1">
      <c r="A147" s="186"/>
      <c r="B147" s="19"/>
      <c r="C147" s="19"/>
      <c r="D147" s="19"/>
      <c r="E147" s="37"/>
      <c r="F147" s="107" t="str">
        <f>IF(E147="","",VLOOKUP(E147,報名總表及收費!$I$29:$L$110,4))</f>
        <v/>
      </c>
      <c r="G147" s="69"/>
      <c r="H147" s="72" t="str">
        <f t="shared" ca="1" si="21"/>
        <v/>
      </c>
      <c r="I147" s="138"/>
      <c r="J147" s="64" t="str">
        <f t="shared" si="15"/>
        <v/>
      </c>
      <c r="Q147" s="68" t="str">
        <f t="shared" ca="1" si="16"/>
        <v/>
      </c>
      <c r="R147" s="6" t="str">
        <f t="shared" si="17"/>
        <v/>
      </c>
      <c r="S147" s="6" t="str">
        <f t="shared" si="18"/>
        <v/>
      </c>
      <c r="T147" s="1" t="str">
        <f t="shared" si="19"/>
        <v/>
      </c>
      <c r="U147" t="str">
        <f t="shared" si="20"/>
        <v/>
      </c>
      <c r="V147"/>
      <c r="W147"/>
      <c r="X147"/>
    </row>
    <row r="148" spans="1:24" ht="16.5" customHeight="1">
      <c r="A148" s="181" t="s">
        <v>126</v>
      </c>
      <c r="B148" s="20"/>
      <c r="C148" s="20"/>
      <c r="D148" s="20"/>
      <c r="E148" s="38"/>
      <c r="F148" s="108" t="str">
        <f>IF(E148="","",VLOOKUP(E148,報名總表及收費!$I$29:$L$110,4))</f>
        <v/>
      </c>
      <c r="G148" s="73"/>
      <c r="H148" s="75" t="str">
        <f t="shared" ca="1" si="21"/>
        <v/>
      </c>
      <c r="I148" s="139"/>
      <c r="J148" s="74" t="str">
        <f t="shared" si="15"/>
        <v/>
      </c>
      <c r="Q148" s="68" t="str">
        <f t="shared" ca="1" si="16"/>
        <v/>
      </c>
      <c r="R148" s="6" t="str">
        <f t="shared" si="17"/>
        <v/>
      </c>
      <c r="S148" s="6" t="str">
        <f t="shared" si="18"/>
        <v/>
      </c>
      <c r="T148" s="1" t="str">
        <f t="shared" si="19"/>
        <v/>
      </c>
      <c r="U148" t="str">
        <f t="shared" si="20"/>
        <v/>
      </c>
      <c r="V148"/>
      <c r="W148"/>
      <c r="X148"/>
    </row>
    <row r="149" spans="1:24" ht="16.5" customHeight="1">
      <c r="A149" s="182"/>
      <c r="B149" s="20"/>
      <c r="C149" s="20"/>
      <c r="D149" s="20"/>
      <c r="E149" s="38"/>
      <c r="F149" s="108" t="str">
        <f>IF(E149="","",VLOOKUP(E149,報名總表及收費!$I$29:$L$110,4))</f>
        <v/>
      </c>
      <c r="G149" s="73"/>
      <c r="H149" s="75" t="str">
        <f t="shared" ca="1" si="21"/>
        <v/>
      </c>
      <c r="I149" s="139"/>
      <c r="J149" s="74" t="str">
        <f t="shared" si="15"/>
        <v/>
      </c>
      <c r="Q149" s="68" t="str">
        <f t="shared" ca="1" si="16"/>
        <v/>
      </c>
      <c r="R149" s="6" t="str">
        <f t="shared" si="17"/>
        <v/>
      </c>
      <c r="S149" s="6" t="str">
        <f t="shared" si="18"/>
        <v/>
      </c>
      <c r="T149" s="1" t="str">
        <f t="shared" si="19"/>
        <v/>
      </c>
      <c r="U149" t="str">
        <f t="shared" si="20"/>
        <v/>
      </c>
      <c r="V149"/>
      <c r="W149"/>
      <c r="X149"/>
    </row>
    <row r="150" spans="1:24" ht="16.5" customHeight="1">
      <c r="A150" s="182"/>
      <c r="B150" s="20"/>
      <c r="C150" s="20"/>
      <c r="D150" s="20"/>
      <c r="E150" s="38"/>
      <c r="F150" s="108" t="str">
        <f>IF(E150="","",VLOOKUP(E150,報名總表及收費!$I$29:$L$110,4))</f>
        <v/>
      </c>
      <c r="G150" s="73"/>
      <c r="H150" s="75" t="str">
        <f t="shared" ca="1" si="21"/>
        <v/>
      </c>
      <c r="I150" s="139"/>
      <c r="J150" s="74" t="str">
        <f t="shared" si="15"/>
        <v/>
      </c>
      <c r="Q150" s="68" t="str">
        <f t="shared" ca="1" si="16"/>
        <v/>
      </c>
      <c r="R150" s="6" t="str">
        <f t="shared" si="17"/>
        <v/>
      </c>
      <c r="S150" s="6" t="str">
        <f t="shared" si="18"/>
        <v/>
      </c>
      <c r="T150" s="1" t="str">
        <f t="shared" si="19"/>
        <v/>
      </c>
      <c r="U150" t="str">
        <f t="shared" si="20"/>
        <v/>
      </c>
      <c r="V150"/>
      <c r="W150"/>
      <c r="X150"/>
    </row>
    <row r="151" spans="1:24" ht="16.5" customHeight="1">
      <c r="A151" s="183"/>
      <c r="B151" s="20"/>
      <c r="C151" s="20"/>
      <c r="D151" s="20"/>
      <c r="E151" s="38"/>
      <c r="F151" s="108" t="str">
        <f>IF(E151="","",VLOOKUP(E151,報名總表及收費!$I$29:$L$110,4))</f>
        <v/>
      </c>
      <c r="G151" s="73"/>
      <c r="H151" s="75" t="str">
        <f t="shared" ca="1" si="21"/>
        <v/>
      </c>
      <c r="I151" s="139"/>
      <c r="J151" s="74" t="str">
        <f t="shared" si="15"/>
        <v/>
      </c>
      <c r="Q151" s="68" t="str">
        <f t="shared" ca="1" si="16"/>
        <v/>
      </c>
      <c r="R151" s="6" t="str">
        <f t="shared" si="17"/>
        <v/>
      </c>
      <c r="S151" s="6" t="str">
        <f t="shared" si="18"/>
        <v/>
      </c>
      <c r="T151" s="1" t="str">
        <f t="shared" si="19"/>
        <v/>
      </c>
      <c r="U151" t="str">
        <f t="shared" si="20"/>
        <v/>
      </c>
      <c r="V151"/>
      <c r="W151"/>
      <c r="X151"/>
    </row>
    <row r="152" spans="1:24" ht="16.5" customHeight="1">
      <c r="A152" s="184" t="s">
        <v>127</v>
      </c>
      <c r="B152" s="19"/>
      <c r="C152" s="19"/>
      <c r="D152" s="19"/>
      <c r="E152" s="37"/>
      <c r="F152" s="107" t="str">
        <f>IF(E152="","",VLOOKUP(E152,報名總表及收費!$I$29:$L$110,4))</f>
        <v/>
      </c>
      <c r="G152" s="69"/>
      <c r="H152" s="72" t="str">
        <f t="shared" ca="1" si="21"/>
        <v/>
      </c>
      <c r="I152" s="138"/>
      <c r="J152" s="64" t="str">
        <f t="shared" si="15"/>
        <v/>
      </c>
      <c r="Q152" s="68" t="str">
        <f t="shared" ca="1" si="16"/>
        <v/>
      </c>
      <c r="R152" s="6" t="str">
        <f t="shared" si="17"/>
        <v/>
      </c>
      <c r="S152" s="6" t="str">
        <f t="shared" si="18"/>
        <v/>
      </c>
      <c r="T152" s="1" t="str">
        <f t="shared" si="19"/>
        <v/>
      </c>
      <c r="U152" t="str">
        <f t="shared" si="20"/>
        <v/>
      </c>
      <c r="V152"/>
      <c r="W152"/>
      <c r="X152"/>
    </row>
    <row r="153" spans="1:24" ht="16.5" customHeight="1">
      <c r="A153" s="185"/>
      <c r="B153" s="19"/>
      <c r="C153" s="19"/>
      <c r="D153" s="19"/>
      <c r="E153" s="37"/>
      <c r="F153" s="107" t="str">
        <f>IF(E153="","",VLOOKUP(E153,報名總表及收費!$I$29:$L$110,4))</f>
        <v/>
      </c>
      <c r="G153" s="69"/>
      <c r="H153" s="72" t="str">
        <f t="shared" ca="1" si="21"/>
        <v/>
      </c>
      <c r="I153" s="138"/>
      <c r="J153" s="64" t="str">
        <f t="shared" ref="J153:J163" si="22">IF(E153="","",IF(((VLOOKUP(E153,$L$24:$Q$66,5))&lt;G153),"報項時間慢於達標時間",""))&amp;IF(T153="FAIL","    運動員錯組別","")&amp;IF(E153="","",IF(MOD(E153,2)=1,""," 項目編號為男子組"))</f>
        <v/>
      </c>
      <c r="Q153" s="68" t="str">
        <f t="shared" ref="Q153:Q164" ca="1" si="23">IF(O153="D",YEAR(NOW())-$P$5,IF(O153="C",YEAR(NOW())-$O$5,IF(O153="F",YEAR(NOW())-$Q$5,IF(O153=0,"",O153))))</f>
        <v/>
      </c>
      <c r="R153" s="6" t="str">
        <f t="shared" ref="R153:R163" si="24">IF(E153=0,"",IF(MOD(E153,2)=0,"",VLOOKUP(E153,$L$23:$Q$63,6,FALSE)))</f>
        <v/>
      </c>
      <c r="S153" s="6" t="str">
        <f t="shared" ref="S153:S163" si="25">IF(D153=0,"",VLOOKUP(E153,$L$24:$Q$63,4,FALSE))</f>
        <v/>
      </c>
      <c r="T153" s="1" t="str">
        <f t="shared" ref="T153:T163" si="26">IF(R153="","",IF(S153="C",IF(H153&gt;=R153,"OK","FAIL"),IF(S153="F",IF(H153&lt;=R153,"OK","FAIL"),IF(S153="D",IF(AND(H153&lt;=R153,H153&gt;=U153),"OK","FAIL"),IF(U153="",IF(H153=S153,"OK","FAIL"),IF(U153="9U",IF(H153&lt;=9,"OK","FAIL"),IF(U153="UP",IF(H153&gt;=15,"OK","FAIL"),IF(U153="DN",IF(H153&lt;=7,"OK","FAIL")))))))))</f>
        <v/>
      </c>
      <c r="U153" t="str">
        <f t="shared" ref="U153:U163" si="27">IF(R153="15U","UP",IF(R153="7D","DN",IF(R153="9U","9U",IF(S153="D",10,""))))</f>
        <v/>
      </c>
      <c r="V153"/>
      <c r="W153"/>
      <c r="X153"/>
    </row>
    <row r="154" spans="1:24" ht="16.5" customHeight="1">
      <c r="A154" s="185"/>
      <c r="B154" s="19"/>
      <c r="C154" s="19"/>
      <c r="D154" s="19"/>
      <c r="E154" s="37"/>
      <c r="F154" s="107" t="str">
        <f>IF(E154="","",VLOOKUP(E154,報名總表及收費!$I$29:$L$110,4))</f>
        <v/>
      </c>
      <c r="G154" s="69"/>
      <c r="H154" s="72" t="str">
        <f t="shared" ca="1" si="21"/>
        <v/>
      </c>
      <c r="I154" s="138"/>
      <c r="J154" s="64" t="str">
        <f t="shared" si="22"/>
        <v/>
      </c>
      <c r="Q154" s="68" t="str">
        <f t="shared" ca="1" si="23"/>
        <v/>
      </c>
      <c r="R154" s="6" t="str">
        <f t="shared" si="24"/>
        <v/>
      </c>
      <c r="S154" s="6" t="str">
        <f t="shared" si="25"/>
        <v/>
      </c>
      <c r="T154" s="1" t="str">
        <f t="shared" si="26"/>
        <v/>
      </c>
      <c r="U154" t="str">
        <f t="shared" si="27"/>
        <v/>
      </c>
      <c r="V154"/>
      <c r="W154"/>
      <c r="X154"/>
    </row>
    <row r="155" spans="1:24" ht="16.5" customHeight="1">
      <c r="A155" s="186"/>
      <c r="B155" s="19"/>
      <c r="C155" s="19"/>
      <c r="D155" s="19"/>
      <c r="E155" s="37"/>
      <c r="F155" s="107" t="str">
        <f>IF(E155="","",VLOOKUP(E155,報名總表及收費!$I$29:$L$110,4))</f>
        <v/>
      </c>
      <c r="G155" s="69"/>
      <c r="H155" s="72" t="str">
        <f t="shared" ca="1" si="21"/>
        <v/>
      </c>
      <c r="I155" s="138"/>
      <c r="J155" s="64" t="str">
        <f t="shared" si="22"/>
        <v/>
      </c>
      <c r="Q155" s="68" t="str">
        <f t="shared" ca="1" si="23"/>
        <v/>
      </c>
      <c r="R155" s="6" t="str">
        <f t="shared" si="24"/>
        <v/>
      </c>
      <c r="S155" s="6" t="str">
        <f t="shared" si="25"/>
        <v/>
      </c>
      <c r="T155" s="1" t="str">
        <f t="shared" si="26"/>
        <v/>
      </c>
      <c r="U155" t="str">
        <f t="shared" si="27"/>
        <v/>
      </c>
      <c r="V155"/>
      <c r="W155"/>
      <c r="X155"/>
    </row>
    <row r="156" spans="1:24" ht="16.5" customHeight="1">
      <c r="A156" s="181" t="s">
        <v>128</v>
      </c>
      <c r="B156" s="20"/>
      <c r="C156" s="20"/>
      <c r="D156" s="20"/>
      <c r="E156" s="38"/>
      <c r="F156" s="108" t="str">
        <f>IF(E156="","",VLOOKUP(E156,報名總表及收費!$I$29:$L$110,4))</f>
        <v/>
      </c>
      <c r="G156" s="73"/>
      <c r="H156" s="75" t="str">
        <f t="shared" ca="1" si="21"/>
        <v/>
      </c>
      <c r="I156" s="139"/>
      <c r="J156" s="74" t="str">
        <f t="shared" si="22"/>
        <v/>
      </c>
      <c r="Q156" s="68" t="str">
        <f t="shared" ca="1" si="23"/>
        <v/>
      </c>
      <c r="R156" s="6" t="str">
        <f t="shared" si="24"/>
        <v/>
      </c>
      <c r="S156" s="6" t="str">
        <f t="shared" si="25"/>
        <v/>
      </c>
      <c r="T156" s="1" t="str">
        <f t="shared" si="26"/>
        <v/>
      </c>
      <c r="U156" t="str">
        <f t="shared" si="27"/>
        <v/>
      </c>
      <c r="V156"/>
      <c r="W156"/>
      <c r="X156"/>
    </row>
    <row r="157" spans="1:24" ht="16.5" customHeight="1">
      <c r="A157" s="182"/>
      <c r="B157" s="20"/>
      <c r="C157" s="20"/>
      <c r="D157" s="20"/>
      <c r="E157" s="38"/>
      <c r="F157" s="108" t="str">
        <f>IF(E157="","",VLOOKUP(E157,報名總表及收費!$I$29:$L$110,4))</f>
        <v/>
      </c>
      <c r="G157" s="73"/>
      <c r="H157" s="75" t="str">
        <f t="shared" ca="1" si="21"/>
        <v/>
      </c>
      <c r="I157" s="139"/>
      <c r="J157" s="74" t="str">
        <f t="shared" si="22"/>
        <v/>
      </c>
      <c r="Q157" s="68" t="str">
        <f t="shared" ca="1" si="23"/>
        <v/>
      </c>
      <c r="R157" s="6" t="str">
        <f t="shared" si="24"/>
        <v/>
      </c>
      <c r="S157" s="6" t="str">
        <f t="shared" si="25"/>
        <v/>
      </c>
      <c r="T157" s="1" t="str">
        <f t="shared" si="26"/>
        <v/>
      </c>
      <c r="U157" t="str">
        <f t="shared" si="27"/>
        <v/>
      </c>
      <c r="V157"/>
      <c r="W157"/>
      <c r="X157"/>
    </row>
    <row r="158" spans="1:24" ht="16.5" customHeight="1">
      <c r="A158" s="182"/>
      <c r="B158" s="20"/>
      <c r="C158" s="20"/>
      <c r="D158" s="20"/>
      <c r="E158" s="38"/>
      <c r="F158" s="108" t="str">
        <f>IF(E158="","",VLOOKUP(E158,報名總表及收費!$I$29:$L$110,4))</f>
        <v/>
      </c>
      <c r="G158" s="73"/>
      <c r="H158" s="75" t="str">
        <f t="shared" ca="1" si="21"/>
        <v/>
      </c>
      <c r="I158" s="139"/>
      <c r="J158" s="74" t="str">
        <f t="shared" si="22"/>
        <v/>
      </c>
      <c r="Q158" s="68" t="str">
        <f t="shared" ca="1" si="23"/>
        <v/>
      </c>
      <c r="R158" s="6" t="str">
        <f t="shared" si="24"/>
        <v/>
      </c>
      <c r="S158" s="6" t="str">
        <f t="shared" si="25"/>
        <v/>
      </c>
      <c r="T158" s="1" t="str">
        <f t="shared" si="26"/>
        <v/>
      </c>
      <c r="U158" t="str">
        <f t="shared" si="27"/>
        <v/>
      </c>
      <c r="V158"/>
      <c r="W158"/>
      <c r="X158"/>
    </row>
    <row r="159" spans="1:24" ht="16.5" customHeight="1">
      <c r="A159" s="183"/>
      <c r="B159" s="20"/>
      <c r="C159" s="20"/>
      <c r="D159" s="20"/>
      <c r="E159" s="38"/>
      <c r="F159" s="108" t="str">
        <f>IF(E159="","",VLOOKUP(E159,報名總表及收費!$I$29:$L$110,4))</f>
        <v/>
      </c>
      <c r="G159" s="73"/>
      <c r="H159" s="75" t="str">
        <f t="shared" ca="1" si="21"/>
        <v/>
      </c>
      <c r="I159" s="139"/>
      <c r="J159" s="74" t="str">
        <f t="shared" si="22"/>
        <v/>
      </c>
      <c r="Q159" s="68" t="str">
        <f t="shared" ca="1" si="23"/>
        <v/>
      </c>
      <c r="R159" s="6" t="str">
        <f t="shared" si="24"/>
        <v/>
      </c>
      <c r="S159" s="6" t="str">
        <f t="shared" si="25"/>
        <v/>
      </c>
      <c r="T159" s="1" t="str">
        <f t="shared" si="26"/>
        <v/>
      </c>
      <c r="U159" t="str">
        <f t="shared" si="27"/>
        <v/>
      </c>
      <c r="V159"/>
      <c r="W159"/>
      <c r="X159"/>
    </row>
    <row r="160" spans="1:24" ht="16.5" customHeight="1">
      <c r="A160" s="184" t="s">
        <v>209</v>
      </c>
      <c r="B160" s="19"/>
      <c r="C160" s="19"/>
      <c r="D160" s="19"/>
      <c r="E160" s="37"/>
      <c r="F160" s="107" t="str">
        <f>IF(E160="","",VLOOKUP(E160,報名總表及收費!$I$29:$L$110,4))</f>
        <v/>
      </c>
      <c r="G160" s="69"/>
      <c r="H160" s="72" t="str">
        <f t="shared" ref="H160:H163" ca="1" si="28">IF(D160=0,"",YEAR(NOW())-D160)</f>
        <v/>
      </c>
      <c r="I160" s="138"/>
      <c r="J160" s="64" t="str">
        <f t="shared" si="22"/>
        <v/>
      </c>
      <c r="Q160" s="68" t="str">
        <f t="shared" ca="1" si="23"/>
        <v/>
      </c>
      <c r="R160" s="6" t="str">
        <f t="shared" si="24"/>
        <v/>
      </c>
      <c r="S160" s="6" t="str">
        <f t="shared" si="25"/>
        <v/>
      </c>
      <c r="T160" s="1" t="str">
        <f t="shared" si="26"/>
        <v/>
      </c>
      <c r="U160" t="str">
        <f t="shared" si="27"/>
        <v/>
      </c>
      <c r="V160"/>
      <c r="W160"/>
      <c r="X160"/>
    </row>
    <row r="161" spans="1:24" ht="16.5" customHeight="1">
      <c r="A161" s="185"/>
      <c r="B161" s="19"/>
      <c r="C161" s="19"/>
      <c r="D161" s="19"/>
      <c r="E161" s="37"/>
      <c r="F161" s="107" t="str">
        <f>IF(E161="","",VLOOKUP(E161,報名總表及收費!$I$29:$L$110,4))</f>
        <v/>
      </c>
      <c r="G161" s="69"/>
      <c r="H161" s="72" t="str">
        <f t="shared" ca="1" si="28"/>
        <v/>
      </c>
      <c r="I161" s="138"/>
      <c r="J161" s="64" t="str">
        <f t="shared" si="22"/>
        <v/>
      </c>
      <c r="Q161" s="68" t="str">
        <f t="shared" ca="1" si="23"/>
        <v/>
      </c>
      <c r="R161" s="6" t="str">
        <f t="shared" si="24"/>
        <v/>
      </c>
      <c r="S161" s="6" t="str">
        <f t="shared" si="25"/>
        <v/>
      </c>
      <c r="T161" s="1" t="str">
        <f t="shared" si="26"/>
        <v/>
      </c>
      <c r="U161" t="str">
        <f t="shared" si="27"/>
        <v/>
      </c>
      <c r="V161"/>
      <c r="W161"/>
      <c r="X161"/>
    </row>
    <row r="162" spans="1:24" ht="16.5" customHeight="1">
      <c r="A162" s="185"/>
      <c r="B162" s="19"/>
      <c r="C162" s="19"/>
      <c r="D162" s="19"/>
      <c r="E162" s="37"/>
      <c r="F162" s="107" t="str">
        <f>IF(E162="","",VLOOKUP(E162,報名總表及收費!$I$29:$L$110,4))</f>
        <v/>
      </c>
      <c r="G162" s="69"/>
      <c r="H162" s="72" t="str">
        <f t="shared" ca="1" si="28"/>
        <v/>
      </c>
      <c r="I162" s="138"/>
      <c r="J162" s="64" t="str">
        <f t="shared" si="22"/>
        <v/>
      </c>
      <c r="Q162" s="68" t="str">
        <f t="shared" ca="1" si="23"/>
        <v/>
      </c>
      <c r="R162" s="6" t="str">
        <f t="shared" si="24"/>
        <v/>
      </c>
      <c r="S162" s="6" t="str">
        <f t="shared" si="25"/>
        <v/>
      </c>
      <c r="T162" s="1" t="str">
        <f t="shared" si="26"/>
        <v/>
      </c>
      <c r="U162" t="str">
        <f t="shared" si="27"/>
        <v/>
      </c>
      <c r="V162"/>
      <c r="W162"/>
      <c r="X162"/>
    </row>
    <row r="163" spans="1:24" ht="16.5" customHeight="1">
      <c r="A163" s="186"/>
      <c r="B163" s="19"/>
      <c r="C163" s="19"/>
      <c r="D163" s="43"/>
      <c r="E163" s="93"/>
      <c r="F163" s="107" t="str">
        <f>IF(E163="","",VLOOKUP(E163,報名總表及收費!$I$29:$L$110,4))</f>
        <v/>
      </c>
      <c r="G163" s="69"/>
      <c r="H163" s="72" t="str">
        <f t="shared" ca="1" si="28"/>
        <v/>
      </c>
      <c r="I163" s="138"/>
      <c r="J163" s="64" t="str">
        <f t="shared" si="22"/>
        <v/>
      </c>
      <c r="Q163" s="68" t="str">
        <f t="shared" ca="1" si="23"/>
        <v/>
      </c>
      <c r="R163" s="6" t="str">
        <f t="shared" si="24"/>
        <v/>
      </c>
      <c r="S163" s="6" t="str">
        <f t="shared" si="25"/>
        <v/>
      </c>
      <c r="T163" s="1" t="str">
        <f t="shared" si="26"/>
        <v/>
      </c>
      <c r="U163" t="str">
        <f t="shared" si="27"/>
        <v/>
      </c>
      <c r="V163"/>
      <c r="W163"/>
      <c r="X163"/>
    </row>
    <row r="164" spans="1:24" ht="16.5" customHeight="1">
      <c r="Q164" s="68" t="str">
        <f t="shared" ca="1" si="23"/>
        <v/>
      </c>
      <c r="R164" s="6" t="str">
        <f t="shared" ref="R164" si="29">IF(E164=0,"",IF(MOD(E164,2)=0,"",VLOOKUP(E164,$L$23:$Q$57,6,FALSE)))</f>
        <v/>
      </c>
      <c r="S164" s="6" t="str">
        <f t="shared" ref="S164" si="30">IF(D164=0,"",VLOOKUP(E164,$L$24:$Q$58,4,FALSE))</f>
        <v/>
      </c>
    </row>
  </sheetData>
  <sheetProtection algorithmName="SHA-512" hashValue="k7RAUVluZWhfra+5v8a0AiyVnorFr5u09uRtTT73zyWMdGFbPvriFgmECgR9v71oO0JZwPA4hPyZitodY7kdCA==" saltValue="LhfBGmVd/zjvkZZUp+GDcA==" spinCount="100000" sheet="1"/>
  <mergeCells count="52">
    <mergeCell ref="A160:A163"/>
    <mergeCell ref="A124:A127"/>
    <mergeCell ref="A96:A99"/>
    <mergeCell ref="A100:A103"/>
    <mergeCell ref="A108:A111"/>
    <mergeCell ref="A112:A115"/>
    <mergeCell ref="A104:A107"/>
    <mergeCell ref="A148:A151"/>
    <mergeCell ref="A152:A155"/>
    <mergeCell ref="A120:A123"/>
    <mergeCell ref="A9:M9"/>
    <mergeCell ref="A44:A47"/>
    <mergeCell ref="A48:A51"/>
    <mergeCell ref="A64:A67"/>
    <mergeCell ref="A24:A27"/>
    <mergeCell ref="A28:A31"/>
    <mergeCell ref="A32:A35"/>
    <mergeCell ref="A36:A39"/>
    <mergeCell ref="A40:A43"/>
    <mergeCell ref="A52:A55"/>
    <mergeCell ref="A56:A59"/>
    <mergeCell ref="A60:A63"/>
    <mergeCell ref="B15:C15"/>
    <mergeCell ref="A1:M1"/>
    <mergeCell ref="A2:M2"/>
    <mergeCell ref="A3:M3"/>
    <mergeCell ref="A4:M4"/>
    <mergeCell ref="A5:M5"/>
    <mergeCell ref="A68:A71"/>
    <mergeCell ref="B11:C11"/>
    <mergeCell ref="B12:C12"/>
    <mergeCell ref="B13:C13"/>
    <mergeCell ref="B18:C18"/>
    <mergeCell ref="B20:C20"/>
    <mergeCell ref="A16:A20"/>
    <mergeCell ref="B19:C19"/>
    <mergeCell ref="A6:M6"/>
    <mergeCell ref="A156:A159"/>
    <mergeCell ref="B16:C16"/>
    <mergeCell ref="A128:A131"/>
    <mergeCell ref="A132:A135"/>
    <mergeCell ref="A136:A139"/>
    <mergeCell ref="A140:A143"/>
    <mergeCell ref="A144:A147"/>
    <mergeCell ref="B17:C17"/>
    <mergeCell ref="A72:A75"/>
    <mergeCell ref="A80:A83"/>
    <mergeCell ref="A84:A87"/>
    <mergeCell ref="A88:A91"/>
    <mergeCell ref="A116:A119"/>
    <mergeCell ref="A92:A95"/>
    <mergeCell ref="A76:A79"/>
  </mergeCells>
  <phoneticPr fontId="5" type="noConversion"/>
  <conditionalFormatting sqref="B11:C13">
    <cfRule type="containsBlanks" dxfId="11" priority="50">
      <formula>LEN(TRIM(B11))=0</formula>
    </cfRule>
  </conditionalFormatting>
  <conditionalFormatting sqref="B16:J16 B17:D17 F17:J17 E17:E19">
    <cfRule type="expression" dxfId="10" priority="2">
      <formula>AND($F$16="",$E$17="")</formula>
    </cfRule>
  </conditionalFormatting>
  <conditionalFormatting sqref="B18:J20">
    <cfRule type="expression" dxfId="9" priority="55">
      <formula>AND($F$18="",$E$18="")</formula>
    </cfRule>
  </conditionalFormatting>
  <conditionalFormatting sqref="B20:J20">
    <cfRule type="expression" dxfId="8" priority="1">
      <formula>IF($E$20="","TRUE","")</formula>
    </cfRule>
  </conditionalFormatting>
  <conditionalFormatting sqref="B24:J163">
    <cfRule type="expression" dxfId="7" priority="8">
      <formula>AND(VLOOKUP($E24,$L$23:$O$57,3)=$E24,VLOOKUP($E24,$L$23:$O$57,2)&gt;$O$2)</formula>
    </cfRule>
  </conditionalFormatting>
  <conditionalFormatting sqref="G16:G20">
    <cfRule type="cellIs" dxfId="6" priority="5" operator="notBetween">
      <formula>0</formula>
      <formula>100000</formula>
    </cfRule>
    <cfRule type="cellIs" dxfId="5" priority="6" operator="notBetween">
      <formula>0</formula>
      <formula>100000</formula>
    </cfRule>
  </conditionalFormatting>
  <conditionalFormatting sqref="G24:G163">
    <cfRule type="expression" dxfId="4" priority="4">
      <formula>IF(VLOOKUP(E24,$L$24:$U$66,5)&lt;G24, TRUE)</formula>
    </cfRule>
    <cfRule type="cellIs" dxfId="3" priority="9" operator="notBetween">
      <formula>0</formula>
      <formula>100000</formula>
    </cfRule>
  </conditionalFormatting>
  <conditionalFormatting sqref="M16:M21">
    <cfRule type="cellIs" dxfId="2" priority="11" operator="greaterThan">
      <formula>1</formula>
    </cfRule>
    <cfRule type="cellIs" dxfId="1" priority="12" operator="greaterThan">
      <formula>4</formula>
    </cfRule>
  </conditionalFormatting>
  <conditionalFormatting sqref="M24:M63">
    <cfRule type="cellIs" dxfId="0" priority="25" operator="greaterThan">
      <formula>$O$2</formula>
    </cfRule>
  </conditionalFormatting>
  <dataValidations count="1">
    <dataValidation type="list" allowBlank="1" showInputMessage="1" showErrorMessage="1" sqref="I24:I163" xr:uid="{00000000-0002-0000-0200-000000000000}">
      <formula1>$R$9:$R$10</formula1>
    </dataValidation>
  </dataValidations>
  <pageMargins left="0.7" right="0.7" top="0.75" bottom="0.75" header="0.3" footer="0.3"/>
  <pageSetup scale="25" orientation="portrait" r:id="rId1"/>
  <headerFooter>
    <oddFooter>&amp;C&amp;"Helvetica Neue,Regular"&amp;12&amp;K000000&amp;P</oddFoot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13"/>
  <sheetViews>
    <sheetView view="pageBreakPreview" zoomScaleNormal="100" zoomScaleSheetLayoutView="100" workbookViewId="0">
      <selection activeCell="E165" sqref="E165"/>
    </sheetView>
  </sheetViews>
  <sheetFormatPr defaultRowHeight="16.5"/>
  <cols>
    <col min="2" max="2" width="20.5" customWidth="1"/>
    <col min="3" max="3" width="22.875" customWidth="1"/>
    <col min="4" max="4" width="11.875" bestFit="1" customWidth="1"/>
    <col min="5" max="5" width="27.75" customWidth="1"/>
    <col min="6" max="6" width="38.375" customWidth="1"/>
    <col min="7" max="7" width="12.125" customWidth="1"/>
  </cols>
  <sheetData>
    <row r="1" spans="1:8" ht="36.75">
      <c r="A1" s="211" t="s">
        <v>83</v>
      </c>
      <c r="B1" s="211"/>
      <c r="C1" s="211"/>
      <c r="D1" s="211"/>
      <c r="E1" s="211"/>
      <c r="F1" s="211"/>
      <c r="G1" s="29"/>
    </row>
    <row r="2" spans="1:8">
      <c r="A2" s="212" t="s">
        <v>84</v>
      </c>
      <c r="B2" s="212"/>
      <c r="C2" s="212"/>
      <c r="D2" s="212"/>
      <c r="E2" s="212"/>
      <c r="F2" s="212"/>
      <c r="G2" s="30"/>
    </row>
    <row r="3" spans="1:8" ht="19.5">
      <c r="A3" s="213" t="s">
        <v>165</v>
      </c>
      <c r="B3" s="214"/>
      <c r="C3" s="214"/>
      <c r="D3" s="214"/>
      <c r="E3" s="214"/>
      <c r="F3" s="214"/>
      <c r="G3" s="31"/>
    </row>
    <row r="4" spans="1:8" ht="19.5">
      <c r="A4" s="32"/>
      <c r="B4" s="32"/>
      <c r="C4" s="32"/>
      <c r="D4" s="32"/>
      <c r="E4" s="32"/>
      <c r="F4" s="32"/>
      <c r="G4" s="31"/>
    </row>
    <row r="5" spans="1:8" ht="19.5">
      <c r="A5" s="210" t="s">
        <v>117</v>
      </c>
      <c r="B5" s="210"/>
      <c r="C5" s="210"/>
      <c r="D5" s="210"/>
      <c r="E5" s="210"/>
      <c r="F5" s="210"/>
      <c r="G5" s="31"/>
    </row>
    <row r="6" spans="1:8" ht="19.5">
      <c r="A6" s="210" t="s">
        <v>116</v>
      </c>
      <c r="B6" s="210"/>
      <c r="C6" s="210"/>
      <c r="D6" s="210"/>
      <c r="E6" s="210"/>
      <c r="F6" s="210"/>
      <c r="G6" s="31"/>
    </row>
    <row r="7" spans="1:8" ht="19.5">
      <c r="A7" s="210" t="s">
        <v>90</v>
      </c>
      <c r="B7" s="210"/>
      <c r="C7" s="210"/>
      <c r="D7" s="210"/>
      <c r="E7" s="210"/>
      <c r="F7" s="210"/>
      <c r="G7" s="31"/>
    </row>
    <row r="8" spans="1:8" ht="19.5">
      <c r="A8" s="210" t="s">
        <v>118</v>
      </c>
      <c r="B8" s="210"/>
      <c r="C8" s="210"/>
      <c r="D8" s="210"/>
      <c r="E8" s="210"/>
      <c r="F8" s="210"/>
      <c r="G8" s="31"/>
    </row>
    <row r="9" spans="1:8" ht="19.5">
      <c r="A9" s="210"/>
      <c r="B9" s="210"/>
      <c r="C9" s="210"/>
      <c r="D9" s="210"/>
      <c r="E9" s="210"/>
      <c r="F9" s="210"/>
      <c r="G9" s="31"/>
    </row>
    <row r="10" spans="1:8" ht="19.5">
      <c r="A10" s="32"/>
      <c r="B10" s="32"/>
      <c r="C10" s="32"/>
      <c r="D10" s="32"/>
      <c r="E10" s="32"/>
      <c r="F10" s="32"/>
      <c r="G10" s="26"/>
    </row>
    <row r="11" spans="1:8" ht="19.5">
      <c r="A11" s="32"/>
      <c r="B11" s="32"/>
      <c r="C11" s="32"/>
      <c r="D11" s="33" t="s">
        <v>87</v>
      </c>
      <c r="E11" s="33" t="str">
        <f>IF(報名總表及收費!B10=0,"",報名總表及收費!B10)</f>
        <v/>
      </c>
      <c r="F11" s="32"/>
      <c r="G11" s="26"/>
      <c r="H11" s="2"/>
    </row>
    <row r="12" spans="1:8" ht="19.5">
      <c r="A12" s="32"/>
      <c r="B12" s="32"/>
      <c r="C12" s="32"/>
      <c r="D12" s="32"/>
      <c r="E12" s="32"/>
      <c r="F12" s="32"/>
      <c r="G12" s="26"/>
    </row>
    <row r="13" spans="1:8" ht="56.25" customHeight="1">
      <c r="A13" s="146"/>
      <c r="B13" s="147" t="s">
        <v>88</v>
      </c>
      <c r="C13" s="147" t="s">
        <v>89</v>
      </c>
      <c r="D13" s="147" t="s">
        <v>85</v>
      </c>
      <c r="E13" s="147" t="s">
        <v>86</v>
      </c>
      <c r="F13" s="137" t="s">
        <v>96</v>
      </c>
      <c r="G13" s="25"/>
    </row>
    <row r="14" spans="1:8" s="28" customFormat="1" ht="18" customHeight="1">
      <c r="A14" s="46">
        <v>1</v>
      </c>
      <c r="B14" s="142"/>
      <c r="C14" s="142"/>
      <c r="D14" s="142"/>
      <c r="E14" s="47"/>
      <c r="F14" s="47"/>
      <c r="G14" s="27"/>
    </row>
    <row r="15" spans="1:8" s="28" customFormat="1" ht="18" customHeight="1">
      <c r="A15" s="46">
        <v>2</v>
      </c>
      <c r="B15" s="142"/>
      <c r="C15" s="142"/>
      <c r="D15" s="142"/>
      <c r="E15" s="47"/>
      <c r="F15" s="47"/>
      <c r="G15" s="27"/>
    </row>
    <row r="16" spans="1:8" s="28" customFormat="1" ht="18" customHeight="1">
      <c r="A16" s="46">
        <v>3</v>
      </c>
      <c r="B16" s="142"/>
      <c r="C16" s="142"/>
      <c r="D16" s="142"/>
      <c r="E16" s="47"/>
      <c r="F16" s="142"/>
      <c r="G16" s="27"/>
    </row>
    <row r="17" spans="1:7" s="28" customFormat="1" ht="18" customHeight="1">
      <c r="A17" s="46">
        <v>4</v>
      </c>
      <c r="B17" s="142"/>
      <c r="C17" s="142"/>
      <c r="D17" s="142"/>
      <c r="E17" s="47"/>
      <c r="F17" s="142"/>
      <c r="G17" s="27"/>
    </row>
    <row r="18" spans="1:7" s="28" customFormat="1" ht="18" customHeight="1">
      <c r="A18" s="46">
        <v>5</v>
      </c>
      <c r="B18" s="142"/>
      <c r="C18" s="142"/>
      <c r="D18" s="142"/>
      <c r="E18" s="47"/>
      <c r="F18" s="47"/>
      <c r="G18" s="27"/>
    </row>
    <row r="19" spans="1:7" s="28" customFormat="1" ht="18" customHeight="1">
      <c r="A19" s="46">
        <v>6</v>
      </c>
      <c r="B19" s="142"/>
      <c r="C19" s="142"/>
      <c r="D19" s="142"/>
      <c r="E19" s="47"/>
      <c r="F19" s="47"/>
      <c r="G19" s="27"/>
    </row>
    <row r="20" spans="1:7" s="28" customFormat="1" ht="18" customHeight="1">
      <c r="A20" s="46">
        <v>7</v>
      </c>
      <c r="B20" s="142"/>
      <c r="C20" s="142"/>
      <c r="D20" s="142"/>
      <c r="E20" s="47"/>
      <c r="F20" s="47"/>
      <c r="G20" s="27"/>
    </row>
    <row r="21" spans="1:7" s="28" customFormat="1" ht="18" customHeight="1">
      <c r="A21" s="46">
        <v>8</v>
      </c>
      <c r="B21" s="142"/>
      <c r="C21" s="142"/>
      <c r="D21" s="142"/>
      <c r="E21" s="47"/>
      <c r="F21" s="47"/>
      <c r="G21" s="27"/>
    </row>
    <row r="22" spans="1:7" s="28" customFormat="1" ht="18" customHeight="1">
      <c r="A22" s="46">
        <v>9</v>
      </c>
      <c r="B22" s="142"/>
      <c r="C22" s="142"/>
      <c r="D22" s="142"/>
      <c r="E22" s="47"/>
      <c r="F22" s="47"/>
      <c r="G22" s="27"/>
    </row>
    <row r="23" spans="1:7" s="28" customFormat="1" ht="18" customHeight="1">
      <c r="A23" s="46">
        <v>10</v>
      </c>
      <c r="B23" s="142"/>
      <c r="C23" s="142"/>
      <c r="D23" s="142"/>
      <c r="E23" s="47"/>
      <c r="F23" s="47"/>
      <c r="G23" s="27"/>
    </row>
    <row r="24" spans="1:7" s="28" customFormat="1" ht="18" customHeight="1">
      <c r="A24" s="46">
        <v>11</v>
      </c>
      <c r="B24" s="142"/>
      <c r="C24" s="142"/>
      <c r="D24" s="142"/>
      <c r="E24" s="47"/>
      <c r="F24" s="47"/>
      <c r="G24" s="27"/>
    </row>
    <row r="25" spans="1:7" s="28" customFormat="1" ht="18" customHeight="1">
      <c r="A25" s="46">
        <v>12</v>
      </c>
      <c r="B25" s="142"/>
      <c r="C25" s="142"/>
      <c r="D25" s="142"/>
      <c r="E25" s="47"/>
      <c r="F25" s="47"/>
      <c r="G25" s="27"/>
    </row>
    <row r="26" spans="1:7" s="28" customFormat="1" ht="18" customHeight="1">
      <c r="A26" s="46">
        <v>13</v>
      </c>
      <c r="B26" s="142"/>
      <c r="C26" s="142"/>
      <c r="D26" s="142"/>
      <c r="E26" s="47"/>
      <c r="F26" s="47"/>
      <c r="G26" s="27"/>
    </row>
    <row r="27" spans="1:7" s="28" customFormat="1" ht="18" customHeight="1">
      <c r="A27" s="46">
        <v>14</v>
      </c>
      <c r="B27" s="142"/>
      <c r="C27" s="142"/>
      <c r="D27" s="142"/>
      <c r="E27" s="47"/>
      <c r="F27" s="47"/>
      <c r="G27" s="27"/>
    </row>
    <row r="28" spans="1:7" s="28" customFormat="1" ht="18" customHeight="1">
      <c r="A28" s="46">
        <v>15</v>
      </c>
      <c r="B28" s="142"/>
      <c r="C28" s="142"/>
      <c r="D28" s="142"/>
      <c r="E28" s="47"/>
      <c r="F28" s="47"/>
      <c r="G28" s="27"/>
    </row>
    <row r="29" spans="1:7" s="28" customFormat="1" ht="18" customHeight="1">
      <c r="A29" s="46">
        <v>16</v>
      </c>
      <c r="B29" s="142"/>
      <c r="C29" s="142"/>
      <c r="D29" s="142"/>
      <c r="E29" s="47"/>
      <c r="F29" s="47"/>
      <c r="G29" s="27"/>
    </row>
    <row r="30" spans="1:7" s="28" customFormat="1" ht="18" customHeight="1">
      <c r="A30" s="46">
        <v>17</v>
      </c>
      <c r="B30" s="142"/>
      <c r="C30" s="142"/>
      <c r="D30" s="142"/>
      <c r="E30" s="47"/>
      <c r="F30" s="47"/>
      <c r="G30" s="27"/>
    </row>
    <row r="31" spans="1:7" s="28" customFormat="1" ht="18" customHeight="1">
      <c r="A31" s="46">
        <v>18</v>
      </c>
      <c r="B31" s="142"/>
      <c r="C31" s="142"/>
      <c r="D31" s="142"/>
      <c r="E31" s="47"/>
      <c r="F31" s="47"/>
      <c r="G31" s="27"/>
    </row>
    <row r="32" spans="1:7" s="28" customFormat="1" ht="18" customHeight="1">
      <c r="A32" s="46">
        <v>19</v>
      </c>
      <c r="B32" s="142"/>
      <c r="C32" s="142"/>
      <c r="D32" s="142"/>
      <c r="E32" s="47"/>
      <c r="F32" s="47"/>
      <c r="G32" s="27"/>
    </row>
    <row r="33" spans="1:7" s="28" customFormat="1" ht="18" customHeight="1">
      <c r="A33" s="46">
        <v>20</v>
      </c>
      <c r="B33" s="142"/>
      <c r="C33" s="142"/>
      <c r="D33" s="142"/>
      <c r="E33" s="47"/>
      <c r="F33" s="47"/>
      <c r="G33" s="27"/>
    </row>
    <row r="34" spans="1:7" s="28" customFormat="1" ht="18" customHeight="1">
      <c r="A34" s="46">
        <v>21</v>
      </c>
      <c r="B34" s="142"/>
      <c r="C34" s="142"/>
      <c r="D34" s="142"/>
      <c r="E34" s="47"/>
      <c r="F34" s="47"/>
      <c r="G34" s="27"/>
    </row>
    <row r="35" spans="1:7" s="28" customFormat="1" ht="18" customHeight="1">
      <c r="A35" s="46">
        <v>22</v>
      </c>
      <c r="B35" s="142"/>
      <c r="C35" s="142"/>
      <c r="D35" s="142"/>
      <c r="E35" s="47"/>
      <c r="F35" s="47"/>
      <c r="G35" s="27"/>
    </row>
    <row r="36" spans="1:7" s="28" customFormat="1" ht="18" customHeight="1">
      <c r="A36" s="46">
        <v>23</v>
      </c>
      <c r="B36" s="142"/>
      <c r="C36" s="142"/>
      <c r="D36" s="142"/>
      <c r="E36" s="47"/>
      <c r="F36" s="47"/>
      <c r="G36" s="27"/>
    </row>
    <row r="37" spans="1:7" s="28" customFormat="1" ht="18" customHeight="1">
      <c r="A37" s="46">
        <v>24</v>
      </c>
      <c r="B37" s="142"/>
      <c r="C37" s="142"/>
      <c r="D37" s="142"/>
      <c r="E37" s="47"/>
      <c r="F37" s="47"/>
      <c r="G37" s="27"/>
    </row>
    <row r="38" spans="1:7" s="28" customFormat="1" ht="18" customHeight="1">
      <c r="A38" s="46">
        <v>25</v>
      </c>
      <c r="B38" s="142"/>
      <c r="C38" s="142"/>
      <c r="D38" s="142"/>
      <c r="E38" s="47"/>
      <c r="F38" s="47"/>
      <c r="G38" s="27"/>
    </row>
    <row r="39" spans="1:7" s="28" customFormat="1" ht="18" customHeight="1">
      <c r="A39" s="46">
        <v>26</v>
      </c>
      <c r="B39" s="142"/>
      <c r="C39" s="142"/>
      <c r="D39" s="142"/>
      <c r="E39" s="47"/>
      <c r="F39" s="47"/>
      <c r="G39" s="27"/>
    </row>
    <row r="40" spans="1:7" s="28" customFormat="1" ht="18" customHeight="1">
      <c r="A40" s="46">
        <v>27</v>
      </c>
      <c r="B40" s="142"/>
      <c r="C40" s="142"/>
      <c r="D40" s="142"/>
      <c r="E40" s="47"/>
      <c r="F40" s="47"/>
    </row>
    <row r="41" spans="1:7" s="28" customFormat="1" ht="18" customHeight="1">
      <c r="A41" s="46">
        <v>28</v>
      </c>
      <c r="B41" s="142"/>
      <c r="C41" s="142"/>
      <c r="D41" s="142"/>
      <c r="E41" s="47"/>
      <c r="F41" s="47"/>
    </row>
    <row r="42" spans="1:7" s="28" customFormat="1" ht="18" customHeight="1">
      <c r="A42" s="46">
        <v>29</v>
      </c>
      <c r="B42" s="143"/>
      <c r="C42" s="143"/>
      <c r="D42" s="143"/>
      <c r="E42" s="143"/>
      <c r="F42" s="143"/>
    </row>
    <row r="43" spans="1:7" s="28" customFormat="1" ht="18" customHeight="1">
      <c r="A43" s="46">
        <v>30</v>
      </c>
      <c r="B43" s="143"/>
      <c r="C43" s="143"/>
      <c r="D43" s="143"/>
      <c r="E43" s="143"/>
      <c r="F43" s="143"/>
    </row>
    <row r="44" spans="1:7" s="28" customFormat="1" ht="18" customHeight="1">
      <c r="A44" s="46">
        <v>31</v>
      </c>
      <c r="B44" s="143"/>
      <c r="C44" s="143"/>
      <c r="D44" s="143"/>
      <c r="E44" s="143"/>
      <c r="F44" s="143"/>
    </row>
    <row r="45" spans="1:7" s="28" customFormat="1" ht="18" customHeight="1">
      <c r="A45" s="46">
        <v>32</v>
      </c>
      <c r="B45" s="143"/>
      <c r="C45" s="143"/>
      <c r="D45" s="143"/>
      <c r="E45" s="143"/>
      <c r="F45" s="143"/>
    </row>
    <row r="46" spans="1:7" s="28" customFormat="1" ht="18" customHeight="1">
      <c r="A46" s="46">
        <v>33</v>
      </c>
      <c r="B46" s="143"/>
      <c r="C46" s="143"/>
      <c r="D46" s="143"/>
      <c r="E46" s="143"/>
      <c r="F46" s="143"/>
    </row>
    <row r="47" spans="1:7" s="28" customFormat="1" ht="18" customHeight="1">
      <c r="A47" s="46">
        <v>34</v>
      </c>
      <c r="B47" s="143"/>
      <c r="C47" s="143"/>
      <c r="D47" s="143"/>
      <c r="E47" s="143"/>
      <c r="F47" s="143"/>
    </row>
    <row r="48" spans="1:7" s="28" customFormat="1" ht="18" customHeight="1">
      <c r="A48" s="46">
        <v>35</v>
      </c>
      <c r="B48" s="143"/>
      <c r="C48" s="143"/>
      <c r="D48" s="143"/>
      <c r="E48" s="143"/>
      <c r="F48" s="143"/>
    </row>
    <row r="49" spans="1:6" s="28" customFormat="1" ht="18" customHeight="1">
      <c r="A49" s="46">
        <v>36</v>
      </c>
      <c r="B49" s="143"/>
      <c r="C49" s="143"/>
      <c r="D49" s="143"/>
      <c r="E49" s="143"/>
      <c r="F49" s="143"/>
    </row>
    <row r="50" spans="1:6" s="28" customFormat="1" ht="18" customHeight="1">
      <c r="A50" s="46">
        <v>37</v>
      </c>
      <c r="B50" s="143"/>
      <c r="C50" s="143"/>
      <c r="D50" s="143"/>
      <c r="E50" s="143"/>
      <c r="F50" s="143"/>
    </row>
    <row r="51" spans="1:6" s="28" customFormat="1" ht="18" customHeight="1">
      <c r="A51" s="46">
        <v>38</v>
      </c>
      <c r="B51" s="143"/>
      <c r="C51" s="143"/>
      <c r="D51" s="143"/>
      <c r="E51" s="143"/>
      <c r="F51" s="143"/>
    </row>
    <row r="52" spans="1:6" s="28" customFormat="1" ht="18" customHeight="1">
      <c r="A52" s="46">
        <v>39</v>
      </c>
      <c r="B52" s="143"/>
      <c r="C52" s="143"/>
      <c r="D52" s="143"/>
      <c r="E52" s="143"/>
      <c r="F52" s="143"/>
    </row>
    <row r="53" spans="1:6" s="28" customFormat="1" ht="18" customHeight="1">
      <c r="A53" s="46">
        <v>40</v>
      </c>
      <c r="B53" s="143"/>
      <c r="C53" s="143"/>
      <c r="D53" s="143"/>
      <c r="E53" s="143"/>
      <c r="F53" s="143"/>
    </row>
    <row r="54" spans="1:6" s="28" customFormat="1" ht="18" customHeight="1">
      <c r="A54" s="46">
        <v>41</v>
      </c>
      <c r="B54" s="143"/>
      <c r="C54" s="143"/>
      <c r="D54" s="143"/>
      <c r="E54" s="143"/>
      <c r="F54" s="143"/>
    </row>
    <row r="55" spans="1:6" s="28" customFormat="1" ht="18" customHeight="1">
      <c r="A55" s="46">
        <v>42</v>
      </c>
      <c r="B55" s="143"/>
      <c r="C55" s="143"/>
      <c r="D55" s="143"/>
      <c r="E55" s="143"/>
      <c r="F55" s="143"/>
    </row>
    <row r="56" spans="1:6" s="28" customFormat="1" ht="18" customHeight="1">
      <c r="A56" s="46">
        <v>43</v>
      </c>
      <c r="B56" s="143"/>
      <c r="C56" s="143"/>
      <c r="D56" s="143"/>
      <c r="E56" s="143"/>
      <c r="F56" s="143"/>
    </row>
    <row r="57" spans="1:6" s="28" customFormat="1" ht="18" customHeight="1">
      <c r="A57" s="46">
        <v>44</v>
      </c>
      <c r="B57" s="143"/>
      <c r="C57" s="143"/>
      <c r="D57" s="143"/>
      <c r="E57" s="143"/>
      <c r="F57" s="143"/>
    </row>
    <row r="58" spans="1:6" s="28" customFormat="1" ht="18" customHeight="1">
      <c r="A58" s="46">
        <v>45</v>
      </c>
      <c r="B58" s="143"/>
      <c r="C58" s="143"/>
      <c r="D58" s="143"/>
      <c r="E58" s="143"/>
      <c r="F58" s="143"/>
    </row>
    <row r="59" spans="1:6" s="28" customFormat="1" ht="18" customHeight="1">
      <c r="A59" s="46">
        <v>46</v>
      </c>
      <c r="B59" s="143"/>
      <c r="C59" s="143"/>
      <c r="D59" s="143"/>
      <c r="E59" s="143"/>
      <c r="F59" s="143"/>
    </row>
    <row r="60" spans="1:6" s="28" customFormat="1" ht="18" customHeight="1">
      <c r="A60" s="46">
        <v>47</v>
      </c>
      <c r="B60" s="143"/>
      <c r="C60" s="143"/>
      <c r="D60" s="143"/>
      <c r="E60" s="143"/>
      <c r="F60" s="143"/>
    </row>
    <row r="61" spans="1:6" s="28" customFormat="1" ht="18" customHeight="1">
      <c r="A61" s="46">
        <v>48</v>
      </c>
      <c r="B61" s="143"/>
      <c r="C61" s="143"/>
      <c r="D61" s="143"/>
      <c r="E61" s="143"/>
      <c r="F61" s="143"/>
    </row>
    <row r="62" spans="1:6" s="28" customFormat="1" ht="18" customHeight="1">
      <c r="A62" s="46">
        <v>49</v>
      </c>
      <c r="B62" s="143"/>
      <c r="C62" s="143"/>
      <c r="D62" s="143"/>
      <c r="E62" s="143"/>
      <c r="F62" s="143"/>
    </row>
    <row r="63" spans="1:6" s="28" customFormat="1" ht="18" customHeight="1">
      <c r="A63" s="46">
        <v>50</v>
      </c>
      <c r="B63" s="143"/>
      <c r="C63" s="143"/>
      <c r="D63" s="143"/>
      <c r="E63" s="143"/>
      <c r="F63" s="143"/>
    </row>
    <row r="64" spans="1:6">
      <c r="A64" s="46">
        <v>51</v>
      </c>
      <c r="B64" s="143"/>
      <c r="C64" s="143"/>
      <c r="D64" s="143"/>
      <c r="E64" s="143"/>
      <c r="F64" s="143"/>
    </row>
    <row r="65" spans="1:6">
      <c r="A65" s="46">
        <v>52</v>
      </c>
      <c r="B65" s="143"/>
      <c r="C65" s="143"/>
      <c r="D65" s="143"/>
      <c r="E65" s="143"/>
      <c r="F65" s="143"/>
    </row>
    <row r="66" spans="1:6">
      <c r="A66" s="46">
        <v>53</v>
      </c>
      <c r="B66" s="143"/>
      <c r="C66" s="143"/>
      <c r="D66" s="143"/>
      <c r="E66" s="143"/>
      <c r="F66" s="143"/>
    </row>
    <row r="67" spans="1:6">
      <c r="A67" s="46">
        <v>54</v>
      </c>
      <c r="B67" s="143"/>
      <c r="C67" s="143"/>
      <c r="D67" s="143"/>
      <c r="E67" s="143"/>
      <c r="F67" s="143"/>
    </row>
    <row r="68" spans="1:6">
      <c r="A68" s="46">
        <v>55</v>
      </c>
      <c r="B68" s="143"/>
      <c r="C68" s="143"/>
      <c r="D68" s="143"/>
      <c r="E68" s="143"/>
      <c r="F68" s="143"/>
    </row>
    <row r="69" spans="1:6">
      <c r="A69" s="46">
        <v>56</v>
      </c>
      <c r="B69" s="143"/>
      <c r="C69" s="143"/>
      <c r="D69" s="143"/>
      <c r="E69" s="143"/>
      <c r="F69" s="143"/>
    </row>
    <row r="70" spans="1:6">
      <c r="A70" s="46">
        <v>57</v>
      </c>
      <c r="B70" s="143"/>
      <c r="C70" s="143"/>
      <c r="D70" s="143"/>
      <c r="E70" s="143"/>
      <c r="F70" s="143"/>
    </row>
    <row r="71" spans="1:6">
      <c r="A71" s="46">
        <v>58</v>
      </c>
      <c r="B71" s="143"/>
      <c r="C71" s="143"/>
      <c r="D71" s="143"/>
      <c r="E71" s="143"/>
      <c r="F71" s="143"/>
    </row>
    <row r="72" spans="1:6">
      <c r="A72" s="46">
        <v>59</v>
      </c>
      <c r="B72" s="143"/>
      <c r="C72" s="143"/>
      <c r="D72" s="143"/>
      <c r="E72" s="143"/>
      <c r="F72" s="143"/>
    </row>
    <row r="73" spans="1:6">
      <c r="A73" s="46">
        <v>60</v>
      </c>
      <c r="B73" s="143"/>
      <c r="C73" s="143"/>
      <c r="D73" s="143"/>
      <c r="E73" s="143"/>
      <c r="F73" s="143"/>
    </row>
    <row r="74" spans="1:6">
      <c r="A74" s="46">
        <v>61</v>
      </c>
      <c r="B74" s="143"/>
      <c r="C74" s="143"/>
      <c r="D74" s="143"/>
      <c r="E74" s="143"/>
      <c r="F74" s="143"/>
    </row>
    <row r="75" spans="1:6">
      <c r="A75" s="46">
        <v>62</v>
      </c>
      <c r="B75" s="143"/>
      <c r="C75" s="143"/>
      <c r="D75" s="143"/>
      <c r="E75" s="143"/>
      <c r="F75" s="143"/>
    </row>
    <row r="76" spans="1:6">
      <c r="A76" s="46">
        <v>63</v>
      </c>
      <c r="B76" s="143"/>
      <c r="C76" s="143"/>
      <c r="D76" s="143"/>
      <c r="E76" s="143"/>
      <c r="F76" s="143"/>
    </row>
    <row r="77" spans="1:6">
      <c r="A77" s="46">
        <v>64</v>
      </c>
      <c r="B77" s="143"/>
      <c r="C77" s="143"/>
      <c r="D77" s="143"/>
      <c r="E77" s="143"/>
      <c r="F77" s="143"/>
    </row>
    <row r="78" spans="1:6">
      <c r="A78" s="46">
        <v>65</v>
      </c>
      <c r="B78" s="143"/>
      <c r="C78" s="143"/>
      <c r="D78" s="143"/>
      <c r="E78" s="143"/>
      <c r="F78" s="143"/>
    </row>
    <row r="79" spans="1:6">
      <c r="A79" s="46">
        <v>66</v>
      </c>
      <c r="B79" s="143"/>
      <c r="C79" s="143"/>
      <c r="D79" s="143"/>
      <c r="E79" s="143"/>
      <c r="F79" s="143"/>
    </row>
    <row r="80" spans="1:6">
      <c r="A80" s="46">
        <v>67</v>
      </c>
      <c r="B80" s="143"/>
      <c r="C80" s="143"/>
      <c r="D80" s="143"/>
      <c r="E80" s="143"/>
      <c r="F80" s="143"/>
    </row>
    <row r="81" spans="1:6">
      <c r="A81" s="46">
        <v>68</v>
      </c>
      <c r="B81" s="143"/>
      <c r="C81" s="143"/>
      <c r="D81" s="143"/>
      <c r="E81" s="143"/>
      <c r="F81" s="143"/>
    </row>
    <row r="82" spans="1:6">
      <c r="A82" s="46">
        <v>69</v>
      </c>
      <c r="B82" s="143"/>
      <c r="C82" s="143"/>
      <c r="D82" s="143"/>
      <c r="E82" s="143"/>
      <c r="F82" s="143"/>
    </row>
    <row r="83" spans="1:6">
      <c r="A83" s="46">
        <v>70</v>
      </c>
      <c r="B83" s="143"/>
      <c r="C83" s="143"/>
      <c r="D83" s="143"/>
      <c r="E83" s="143"/>
      <c r="F83" s="143"/>
    </row>
    <row r="84" spans="1:6">
      <c r="A84" s="46">
        <v>71</v>
      </c>
      <c r="B84" s="143"/>
      <c r="C84" s="143"/>
      <c r="D84" s="143"/>
      <c r="E84" s="143"/>
      <c r="F84" s="143"/>
    </row>
    <row r="85" spans="1:6">
      <c r="A85" s="46">
        <v>72</v>
      </c>
      <c r="B85" s="143"/>
      <c r="C85" s="143"/>
      <c r="D85" s="143"/>
      <c r="E85" s="143"/>
      <c r="F85" s="143"/>
    </row>
    <row r="86" spans="1:6">
      <c r="A86" s="46">
        <v>73</v>
      </c>
      <c r="B86" s="143"/>
      <c r="C86" s="143"/>
      <c r="D86" s="143"/>
      <c r="E86" s="143"/>
      <c r="F86" s="143"/>
    </row>
    <row r="87" spans="1:6">
      <c r="A87" s="46">
        <v>74</v>
      </c>
      <c r="B87" s="143"/>
      <c r="C87" s="143"/>
      <c r="D87" s="143"/>
      <c r="E87" s="143"/>
      <c r="F87" s="143"/>
    </row>
    <row r="88" spans="1:6">
      <c r="A88" s="46">
        <v>75</v>
      </c>
      <c r="B88" s="143"/>
      <c r="C88" s="143"/>
      <c r="D88" s="143"/>
      <c r="E88" s="143"/>
      <c r="F88" s="143"/>
    </row>
    <row r="89" spans="1:6">
      <c r="A89" s="46">
        <v>76</v>
      </c>
      <c r="B89" s="143"/>
      <c r="C89" s="143"/>
      <c r="D89" s="143"/>
      <c r="E89" s="143"/>
      <c r="F89" s="143"/>
    </row>
    <row r="90" spans="1:6">
      <c r="A90" s="46">
        <v>77</v>
      </c>
      <c r="B90" s="143"/>
      <c r="C90" s="143"/>
      <c r="D90" s="143"/>
      <c r="E90" s="143"/>
      <c r="F90" s="143"/>
    </row>
    <row r="91" spans="1:6">
      <c r="A91" s="46">
        <v>78</v>
      </c>
      <c r="B91" s="143"/>
      <c r="C91" s="143"/>
      <c r="D91" s="143"/>
      <c r="E91" s="143"/>
      <c r="F91" s="143"/>
    </row>
    <row r="92" spans="1:6">
      <c r="A92" s="46">
        <v>79</v>
      </c>
      <c r="B92" s="143"/>
      <c r="C92" s="143"/>
      <c r="D92" s="143"/>
      <c r="E92" s="143"/>
      <c r="F92" s="143"/>
    </row>
    <row r="93" spans="1:6">
      <c r="A93" s="46">
        <v>80</v>
      </c>
      <c r="B93" s="143"/>
      <c r="C93" s="143"/>
      <c r="D93" s="143"/>
      <c r="E93" s="143"/>
      <c r="F93" s="143"/>
    </row>
    <row r="94" spans="1:6">
      <c r="A94" s="46">
        <v>81</v>
      </c>
      <c r="B94" s="143"/>
      <c r="C94" s="143"/>
      <c r="D94" s="143"/>
      <c r="E94" s="143"/>
      <c r="F94" s="143"/>
    </row>
    <row r="95" spans="1:6">
      <c r="A95" s="46">
        <v>82</v>
      </c>
      <c r="B95" s="143"/>
      <c r="C95" s="143"/>
      <c r="D95" s="143"/>
      <c r="E95" s="143"/>
      <c r="F95" s="143"/>
    </row>
    <row r="96" spans="1:6">
      <c r="A96" s="46">
        <v>83</v>
      </c>
      <c r="B96" s="143"/>
      <c r="C96" s="143"/>
      <c r="D96" s="143"/>
      <c r="E96" s="143"/>
      <c r="F96" s="143"/>
    </row>
    <row r="97" spans="1:6">
      <c r="A97" s="46">
        <v>84</v>
      </c>
      <c r="B97" s="143"/>
      <c r="C97" s="143"/>
      <c r="D97" s="143"/>
      <c r="E97" s="143"/>
      <c r="F97" s="143"/>
    </row>
    <row r="98" spans="1:6">
      <c r="A98" s="46">
        <v>85</v>
      </c>
      <c r="B98" s="143"/>
      <c r="C98" s="143"/>
      <c r="D98" s="143"/>
      <c r="E98" s="143"/>
      <c r="F98" s="143"/>
    </row>
    <row r="99" spans="1:6">
      <c r="A99" s="46">
        <v>86</v>
      </c>
      <c r="B99" s="143"/>
      <c r="C99" s="143"/>
      <c r="D99" s="143"/>
      <c r="E99" s="143"/>
      <c r="F99" s="143"/>
    </row>
    <row r="100" spans="1:6">
      <c r="A100" s="46">
        <v>87</v>
      </c>
      <c r="B100" s="143"/>
      <c r="C100" s="143"/>
      <c r="D100" s="143"/>
      <c r="E100" s="143"/>
      <c r="F100" s="143"/>
    </row>
    <row r="101" spans="1:6">
      <c r="A101" s="46">
        <v>88</v>
      </c>
      <c r="B101" s="143"/>
      <c r="C101" s="143"/>
      <c r="D101" s="143"/>
      <c r="E101" s="143"/>
      <c r="F101" s="143"/>
    </row>
    <row r="102" spans="1:6">
      <c r="A102" s="46">
        <v>89</v>
      </c>
      <c r="B102" s="143"/>
      <c r="C102" s="143"/>
      <c r="D102" s="143"/>
      <c r="E102" s="143"/>
      <c r="F102" s="143"/>
    </row>
    <row r="103" spans="1:6">
      <c r="A103" s="46">
        <v>90</v>
      </c>
      <c r="B103" s="143"/>
      <c r="C103" s="143"/>
      <c r="D103" s="143"/>
      <c r="E103" s="143"/>
      <c r="F103" s="143"/>
    </row>
    <row r="104" spans="1:6">
      <c r="A104" s="46">
        <v>91</v>
      </c>
      <c r="B104" s="143"/>
      <c r="C104" s="143"/>
      <c r="D104" s="143"/>
      <c r="E104" s="143"/>
      <c r="F104" s="143"/>
    </row>
    <row r="105" spans="1:6">
      <c r="A105" s="46">
        <v>92</v>
      </c>
      <c r="B105" s="143"/>
      <c r="C105" s="143"/>
      <c r="D105" s="143"/>
      <c r="E105" s="143"/>
      <c r="F105" s="143"/>
    </row>
    <row r="106" spans="1:6">
      <c r="A106" s="46">
        <v>93</v>
      </c>
      <c r="B106" s="143"/>
      <c r="C106" s="143"/>
      <c r="D106" s="143"/>
      <c r="E106" s="143"/>
      <c r="F106" s="143"/>
    </row>
    <row r="107" spans="1:6">
      <c r="A107" s="46">
        <v>94</v>
      </c>
      <c r="B107" s="143"/>
      <c r="C107" s="143"/>
      <c r="D107" s="143"/>
      <c r="E107" s="143"/>
      <c r="F107" s="143"/>
    </row>
    <row r="108" spans="1:6">
      <c r="A108" s="46">
        <v>95</v>
      </c>
      <c r="B108" s="143"/>
      <c r="C108" s="143"/>
      <c r="D108" s="143"/>
      <c r="E108" s="143"/>
      <c r="F108" s="143"/>
    </row>
    <row r="109" spans="1:6">
      <c r="A109" s="46">
        <v>96</v>
      </c>
      <c r="B109" s="143"/>
      <c r="C109" s="143"/>
      <c r="D109" s="143"/>
      <c r="E109" s="143"/>
      <c r="F109" s="143"/>
    </row>
    <row r="110" spans="1:6">
      <c r="A110" s="46">
        <v>97</v>
      </c>
      <c r="B110" s="143"/>
      <c r="C110" s="143"/>
      <c r="D110" s="143"/>
      <c r="E110" s="143"/>
      <c r="F110" s="143"/>
    </row>
    <row r="111" spans="1:6">
      <c r="A111" s="46">
        <v>98</v>
      </c>
      <c r="B111" s="143"/>
      <c r="C111" s="143"/>
      <c r="D111" s="143"/>
      <c r="E111" s="143"/>
      <c r="F111" s="143"/>
    </row>
    <row r="112" spans="1:6">
      <c r="A112" s="46">
        <v>99</v>
      </c>
      <c r="B112" s="143"/>
      <c r="C112" s="143"/>
      <c r="D112" s="143"/>
      <c r="E112" s="143"/>
      <c r="F112" s="143"/>
    </row>
    <row r="113" spans="1:6">
      <c r="A113" s="46">
        <v>100</v>
      </c>
      <c r="B113" s="143"/>
      <c r="C113" s="143"/>
      <c r="D113" s="143"/>
      <c r="E113" s="143"/>
      <c r="F113" s="143"/>
    </row>
    <row r="114" spans="1:6">
      <c r="A114" s="46">
        <v>101</v>
      </c>
      <c r="B114" s="143"/>
      <c r="C114" s="143"/>
      <c r="D114" s="143"/>
      <c r="E114" s="143"/>
      <c r="F114" s="143"/>
    </row>
    <row r="115" spans="1:6">
      <c r="A115" s="46">
        <v>102</v>
      </c>
      <c r="B115" s="143"/>
      <c r="C115" s="143"/>
      <c r="D115" s="143"/>
      <c r="E115" s="143"/>
      <c r="F115" s="143"/>
    </row>
    <row r="116" spans="1:6">
      <c r="A116" s="46">
        <v>103</v>
      </c>
      <c r="B116" s="143"/>
      <c r="C116" s="143"/>
      <c r="D116" s="143"/>
      <c r="E116" s="143"/>
      <c r="F116" s="143"/>
    </row>
    <row r="117" spans="1:6">
      <c r="A117" s="46">
        <v>104</v>
      </c>
      <c r="B117" s="143"/>
      <c r="C117" s="143"/>
      <c r="D117" s="143"/>
      <c r="E117" s="143"/>
      <c r="F117" s="143"/>
    </row>
    <row r="118" spans="1:6">
      <c r="A118" s="46">
        <v>105</v>
      </c>
      <c r="B118" s="143"/>
      <c r="C118" s="143"/>
      <c r="D118" s="143"/>
      <c r="E118" s="143"/>
      <c r="F118" s="143"/>
    </row>
    <row r="119" spans="1:6">
      <c r="A119" s="46">
        <v>106</v>
      </c>
      <c r="B119" s="143"/>
      <c r="C119" s="143"/>
      <c r="D119" s="143"/>
      <c r="E119" s="143"/>
      <c r="F119" s="143"/>
    </row>
    <row r="120" spans="1:6">
      <c r="A120" s="46">
        <v>107</v>
      </c>
      <c r="B120" s="143"/>
      <c r="C120" s="143"/>
      <c r="D120" s="143"/>
      <c r="E120" s="143"/>
      <c r="F120" s="143"/>
    </row>
    <row r="121" spans="1:6">
      <c r="A121" s="46">
        <v>108</v>
      </c>
      <c r="B121" s="143"/>
      <c r="C121" s="143"/>
      <c r="D121" s="143"/>
      <c r="E121" s="143"/>
      <c r="F121" s="143"/>
    </row>
    <row r="122" spans="1:6">
      <c r="A122" s="46">
        <v>109</v>
      </c>
      <c r="B122" s="143"/>
      <c r="C122" s="143"/>
      <c r="D122" s="143"/>
      <c r="E122" s="143"/>
      <c r="F122" s="143"/>
    </row>
    <row r="123" spans="1:6">
      <c r="A123" s="46">
        <v>110</v>
      </c>
      <c r="B123" s="143"/>
      <c r="C123" s="143"/>
      <c r="D123" s="143"/>
      <c r="E123" s="143"/>
      <c r="F123" s="143"/>
    </row>
    <row r="124" spans="1:6">
      <c r="A124" s="46">
        <v>111</v>
      </c>
      <c r="B124" s="143"/>
      <c r="C124" s="143"/>
      <c r="D124" s="143"/>
      <c r="E124" s="143"/>
      <c r="F124" s="143"/>
    </row>
    <row r="125" spans="1:6">
      <c r="A125" s="46">
        <v>112</v>
      </c>
      <c r="B125" s="143"/>
      <c r="C125" s="143"/>
      <c r="D125" s="143"/>
      <c r="E125" s="143"/>
      <c r="F125" s="143"/>
    </row>
    <row r="126" spans="1:6">
      <c r="A126" s="46">
        <v>113</v>
      </c>
      <c r="B126" s="143"/>
      <c r="C126" s="143"/>
      <c r="D126" s="143"/>
      <c r="E126" s="143"/>
      <c r="F126" s="143"/>
    </row>
    <row r="127" spans="1:6">
      <c r="A127" s="46">
        <v>114</v>
      </c>
      <c r="B127" s="143"/>
      <c r="C127" s="143"/>
      <c r="D127" s="143"/>
      <c r="E127" s="143"/>
      <c r="F127" s="143"/>
    </row>
    <row r="128" spans="1:6">
      <c r="A128" s="46">
        <v>115</v>
      </c>
      <c r="B128" s="143"/>
      <c r="C128" s="143"/>
      <c r="D128" s="143"/>
      <c r="E128" s="143"/>
      <c r="F128" s="143"/>
    </row>
    <row r="129" spans="1:6">
      <c r="A129" s="46">
        <v>116</v>
      </c>
      <c r="B129" s="143"/>
      <c r="C129" s="143"/>
      <c r="D129" s="143"/>
      <c r="E129" s="143"/>
      <c r="F129" s="143"/>
    </row>
    <row r="130" spans="1:6">
      <c r="A130" s="46">
        <v>117</v>
      </c>
      <c r="B130" s="143"/>
      <c r="C130" s="143"/>
      <c r="D130" s="143"/>
      <c r="E130" s="143"/>
      <c r="F130" s="143"/>
    </row>
    <row r="131" spans="1:6">
      <c r="A131" s="46">
        <v>118</v>
      </c>
      <c r="B131" s="143"/>
      <c r="C131" s="143"/>
      <c r="D131" s="143"/>
      <c r="E131" s="143"/>
      <c r="F131" s="143"/>
    </row>
    <row r="132" spans="1:6">
      <c r="A132" s="46">
        <v>119</v>
      </c>
      <c r="B132" s="143"/>
      <c r="C132" s="143"/>
      <c r="D132" s="143"/>
      <c r="E132" s="143"/>
      <c r="F132" s="143"/>
    </row>
    <row r="133" spans="1:6">
      <c r="A133" s="46">
        <v>120</v>
      </c>
      <c r="B133" s="143"/>
      <c r="C133" s="143"/>
      <c r="D133" s="143"/>
      <c r="E133" s="143"/>
      <c r="F133" s="143"/>
    </row>
    <row r="134" spans="1:6">
      <c r="A134" s="46">
        <v>121</v>
      </c>
      <c r="B134" s="143"/>
      <c r="C134" s="143"/>
      <c r="D134" s="143"/>
      <c r="E134" s="143"/>
      <c r="F134" s="143"/>
    </row>
    <row r="135" spans="1:6">
      <c r="A135" s="46">
        <v>122</v>
      </c>
      <c r="B135" s="143"/>
      <c r="C135" s="143"/>
      <c r="D135" s="143"/>
      <c r="E135" s="143"/>
      <c r="F135" s="143"/>
    </row>
    <row r="136" spans="1:6">
      <c r="A136" s="46">
        <v>123</v>
      </c>
      <c r="B136" s="143"/>
      <c r="C136" s="143"/>
      <c r="D136" s="143"/>
      <c r="E136" s="143"/>
      <c r="F136" s="143"/>
    </row>
    <row r="137" spans="1:6">
      <c r="A137" s="46">
        <v>124</v>
      </c>
      <c r="B137" s="143"/>
      <c r="C137" s="143"/>
      <c r="D137" s="143"/>
      <c r="E137" s="143"/>
      <c r="F137" s="143"/>
    </row>
    <row r="138" spans="1:6">
      <c r="A138" s="46">
        <v>125</v>
      </c>
      <c r="B138" s="143"/>
      <c r="C138" s="143"/>
      <c r="D138" s="143"/>
      <c r="E138" s="143"/>
      <c r="F138" s="143"/>
    </row>
    <row r="139" spans="1:6">
      <c r="A139" s="46">
        <v>126</v>
      </c>
      <c r="B139" s="143"/>
      <c r="C139" s="143"/>
      <c r="D139" s="143"/>
      <c r="E139" s="143"/>
      <c r="F139" s="143"/>
    </row>
    <row r="140" spans="1:6">
      <c r="A140" s="46">
        <v>127</v>
      </c>
      <c r="B140" s="143"/>
      <c r="C140" s="143"/>
      <c r="D140" s="143"/>
      <c r="E140" s="143"/>
      <c r="F140" s="143"/>
    </row>
    <row r="141" spans="1:6">
      <c r="A141" s="46">
        <v>128</v>
      </c>
      <c r="B141" s="143"/>
      <c r="C141" s="143"/>
      <c r="D141" s="143"/>
      <c r="E141" s="143"/>
      <c r="F141" s="143"/>
    </row>
    <row r="142" spans="1:6">
      <c r="A142" s="46">
        <v>129</v>
      </c>
      <c r="B142" s="143"/>
      <c r="C142" s="143"/>
      <c r="D142" s="143"/>
      <c r="E142" s="143"/>
      <c r="F142" s="143"/>
    </row>
    <row r="143" spans="1:6">
      <c r="A143" s="46">
        <v>130</v>
      </c>
      <c r="B143" s="143"/>
      <c r="C143" s="143"/>
      <c r="D143" s="143"/>
      <c r="E143" s="143"/>
      <c r="F143" s="143"/>
    </row>
    <row r="144" spans="1:6">
      <c r="A144" s="46">
        <v>131</v>
      </c>
      <c r="B144" s="143"/>
      <c r="C144" s="143"/>
      <c r="D144" s="143"/>
      <c r="E144" s="143"/>
      <c r="F144" s="143"/>
    </row>
    <row r="145" spans="1:6">
      <c r="A145" s="46">
        <v>132</v>
      </c>
      <c r="B145" s="143"/>
      <c r="C145" s="143"/>
      <c r="D145" s="143"/>
      <c r="E145" s="143"/>
      <c r="F145" s="143"/>
    </row>
    <row r="146" spans="1:6">
      <c r="A146" s="46">
        <v>133</v>
      </c>
      <c r="B146" s="143"/>
      <c r="C146" s="143"/>
      <c r="D146" s="143"/>
      <c r="E146" s="143"/>
      <c r="F146" s="143"/>
    </row>
    <row r="147" spans="1:6">
      <c r="A147" s="46">
        <v>134</v>
      </c>
      <c r="B147" s="143"/>
      <c r="C147" s="143"/>
      <c r="D147" s="143"/>
      <c r="E147" s="143"/>
      <c r="F147" s="143"/>
    </row>
    <row r="148" spans="1:6">
      <c r="A148" s="46">
        <v>135</v>
      </c>
      <c r="B148" s="143"/>
      <c r="C148" s="143"/>
      <c r="D148" s="143"/>
      <c r="E148" s="143"/>
      <c r="F148" s="143"/>
    </row>
    <row r="149" spans="1:6">
      <c r="A149" s="46">
        <v>136</v>
      </c>
      <c r="B149" s="143"/>
      <c r="C149" s="143"/>
      <c r="D149" s="143"/>
      <c r="E149" s="143"/>
      <c r="F149" s="143"/>
    </row>
    <row r="150" spans="1:6">
      <c r="A150" s="46">
        <v>137</v>
      </c>
      <c r="B150" s="143"/>
      <c r="C150" s="143"/>
      <c r="D150" s="143"/>
      <c r="E150" s="143"/>
      <c r="F150" s="143"/>
    </row>
    <row r="151" spans="1:6">
      <c r="A151" s="46">
        <v>138</v>
      </c>
      <c r="B151" s="143"/>
      <c r="C151" s="143"/>
      <c r="D151" s="143"/>
      <c r="E151" s="143"/>
      <c r="F151" s="143"/>
    </row>
    <row r="152" spans="1:6">
      <c r="A152" s="46">
        <v>139</v>
      </c>
      <c r="B152" s="143"/>
      <c r="C152" s="143"/>
      <c r="D152" s="143"/>
      <c r="E152" s="143"/>
      <c r="F152" s="143"/>
    </row>
    <row r="153" spans="1:6">
      <c r="A153" s="46">
        <v>140</v>
      </c>
      <c r="B153" s="143"/>
      <c r="C153" s="143"/>
      <c r="D153" s="143"/>
      <c r="E153" s="143"/>
      <c r="F153" s="143"/>
    </row>
    <row r="154" spans="1:6">
      <c r="A154" s="46">
        <v>141</v>
      </c>
      <c r="B154" s="143"/>
      <c r="C154" s="143"/>
      <c r="D154" s="143"/>
      <c r="E154" s="143"/>
      <c r="F154" s="143"/>
    </row>
    <row r="155" spans="1:6">
      <c r="A155" s="46">
        <v>142</v>
      </c>
      <c r="B155" s="143"/>
      <c r="C155" s="143"/>
      <c r="D155" s="143"/>
      <c r="E155" s="143"/>
      <c r="F155" s="143"/>
    </row>
    <row r="156" spans="1:6">
      <c r="A156" s="46">
        <v>143</v>
      </c>
      <c r="B156" s="143"/>
      <c r="C156" s="143"/>
      <c r="D156" s="143"/>
      <c r="E156" s="143"/>
      <c r="F156" s="143"/>
    </row>
    <row r="157" spans="1:6">
      <c r="A157" s="46">
        <v>144</v>
      </c>
      <c r="B157" s="143"/>
      <c r="C157" s="143"/>
      <c r="D157" s="143"/>
      <c r="E157" s="143"/>
      <c r="F157" s="143"/>
    </row>
    <row r="158" spans="1:6">
      <c r="A158" s="46">
        <v>145</v>
      </c>
      <c r="B158" s="143"/>
      <c r="C158" s="143"/>
      <c r="D158" s="143"/>
      <c r="E158" s="143"/>
      <c r="F158" s="143"/>
    </row>
    <row r="159" spans="1:6">
      <c r="A159" s="46">
        <v>146</v>
      </c>
      <c r="B159" s="143"/>
      <c r="C159" s="143"/>
      <c r="D159" s="143"/>
      <c r="E159" s="143"/>
      <c r="F159" s="143"/>
    </row>
    <row r="160" spans="1:6">
      <c r="A160" s="46">
        <v>147</v>
      </c>
      <c r="B160" s="143"/>
      <c r="C160" s="143"/>
      <c r="D160" s="143"/>
      <c r="E160" s="143"/>
      <c r="F160" s="143"/>
    </row>
    <row r="161" spans="1:6">
      <c r="A161" s="46">
        <v>148</v>
      </c>
      <c r="B161" s="143"/>
      <c r="C161" s="143"/>
      <c r="D161" s="143"/>
      <c r="E161" s="143"/>
      <c r="F161" s="143"/>
    </row>
    <row r="162" spans="1:6">
      <c r="A162" s="46">
        <v>149</v>
      </c>
      <c r="B162" s="143"/>
      <c r="C162" s="143"/>
      <c r="D162" s="143"/>
      <c r="E162" s="143"/>
      <c r="F162" s="143"/>
    </row>
    <row r="163" spans="1:6">
      <c r="A163" s="46">
        <v>150</v>
      </c>
      <c r="B163" s="143"/>
      <c r="C163" s="143"/>
      <c r="D163" s="143"/>
      <c r="E163" s="143"/>
      <c r="F163" s="143"/>
    </row>
    <row r="164" spans="1:6">
      <c r="A164" s="46">
        <v>151</v>
      </c>
      <c r="B164" s="143"/>
      <c r="C164" s="143"/>
      <c r="D164" s="143"/>
      <c r="E164" s="143"/>
      <c r="F164" s="143"/>
    </row>
    <row r="165" spans="1:6">
      <c r="A165" s="46">
        <v>152</v>
      </c>
      <c r="B165" s="143"/>
      <c r="C165" s="143"/>
      <c r="D165" s="143"/>
      <c r="E165" s="143"/>
      <c r="F165" s="143"/>
    </row>
    <row r="166" spans="1:6">
      <c r="A166" s="46">
        <v>153</v>
      </c>
      <c r="B166" s="143"/>
      <c r="C166" s="143"/>
      <c r="D166" s="143"/>
      <c r="E166" s="143"/>
      <c r="F166" s="143"/>
    </row>
    <row r="167" spans="1:6">
      <c r="A167" s="46">
        <v>154</v>
      </c>
      <c r="B167" s="143"/>
      <c r="C167" s="143"/>
      <c r="D167" s="143"/>
      <c r="E167" s="143"/>
      <c r="F167" s="143"/>
    </row>
    <row r="168" spans="1:6">
      <c r="A168" s="46">
        <v>155</v>
      </c>
      <c r="B168" s="143"/>
      <c r="C168" s="143"/>
      <c r="D168" s="143"/>
      <c r="E168" s="143"/>
      <c r="F168" s="143"/>
    </row>
    <row r="169" spans="1:6">
      <c r="A169" s="46">
        <v>156</v>
      </c>
      <c r="B169" s="143"/>
      <c r="C169" s="143"/>
      <c r="D169" s="143"/>
      <c r="E169" s="143"/>
      <c r="F169" s="143"/>
    </row>
    <row r="170" spans="1:6">
      <c r="A170" s="46">
        <v>157</v>
      </c>
      <c r="B170" s="143"/>
      <c r="C170" s="143"/>
      <c r="D170" s="143"/>
      <c r="E170" s="143"/>
      <c r="F170" s="143"/>
    </row>
    <row r="171" spans="1:6">
      <c r="A171" s="46">
        <v>158</v>
      </c>
      <c r="B171" s="143"/>
      <c r="C171" s="143"/>
      <c r="D171" s="143"/>
      <c r="E171" s="143"/>
      <c r="F171" s="143"/>
    </row>
    <row r="172" spans="1:6">
      <c r="A172" s="46">
        <v>159</v>
      </c>
      <c r="B172" s="143"/>
      <c r="C172" s="143"/>
      <c r="D172" s="143"/>
      <c r="E172" s="143"/>
      <c r="F172" s="143"/>
    </row>
    <row r="173" spans="1:6">
      <c r="A173" s="46">
        <v>160</v>
      </c>
      <c r="B173" s="143"/>
      <c r="C173" s="143"/>
      <c r="D173" s="143"/>
      <c r="E173" s="143"/>
      <c r="F173" s="143"/>
    </row>
    <row r="174" spans="1:6">
      <c r="A174" s="46">
        <v>161</v>
      </c>
      <c r="B174" s="143"/>
      <c r="C174" s="143"/>
      <c r="D174" s="143"/>
      <c r="E174" s="143"/>
      <c r="F174" s="143"/>
    </row>
    <row r="175" spans="1:6">
      <c r="A175" s="46">
        <v>162</v>
      </c>
      <c r="B175" s="143"/>
      <c r="C175" s="143"/>
      <c r="D175" s="143"/>
      <c r="E175" s="143"/>
      <c r="F175" s="143"/>
    </row>
    <row r="176" spans="1:6">
      <c r="A176" s="46">
        <v>163</v>
      </c>
      <c r="B176" s="143"/>
      <c r="C176" s="143"/>
      <c r="D176" s="143"/>
      <c r="E176" s="143"/>
      <c r="F176" s="143"/>
    </row>
    <row r="177" spans="1:6">
      <c r="A177" s="46">
        <v>164</v>
      </c>
      <c r="B177" s="143"/>
      <c r="C177" s="143"/>
      <c r="D177" s="143"/>
      <c r="E177" s="143"/>
      <c r="F177" s="143"/>
    </row>
    <row r="178" spans="1:6">
      <c r="A178" s="46">
        <v>165</v>
      </c>
      <c r="B178" s="143"/>
      <c r="C178" s="143"/>
      <c r="D178" s="143"/>
      <c r="E178" s="143"/>
      <c r="F178" s="143"/>
    </row>
    <row r="179" spans="1:6">
      <c r="A179" s="46">
        <v>166</v>
      </c>
      <c r="B179" s="143"/>
      <c r="C179" s="143"/>
      <c r="D179" s="143"/>
      <c r="E179" s="143"/>
      <c r="F179" s="143"/>
    </row>
    <row r="180" spans="1:6">
      <c r="A180" s="46">
        <v>167</v>
      </c>
      <c r="B180" s="143"/>
      <c r="C180" s="143"/>
      <c r="D180" s="143"/>
      <c r="E180" s="143"/>
      <c r="F180" s="143"/>
    </row>
    <row r="181" spans="1:6">
      <c r="A181" s="46">
        <v>168</v>
      </c>
      <c r="B181" s="143"/>
      <c r="C181" s="143"/>
      <c r="D181" s="143"/>
      <c r="E181" s="143"/>
      <c r="F181" s="143"/>
    </row>
    <row r="182" spans="1:6">
      <c r="A182" s="46">
        <v>169</v>
      </c>
      <c r="B182" s="143"/>
      <c r="C182" s="143"/>
      <c r="D182" s="143"/>
      <c r="E182" s="143"/>
      <c r="F182" s="143"/>
    </row>
    <row r="183" spans="1:6">
      <c r="A183" s="46">
        <v>170</v>
      </c>
      <c r="B183" s="143"/>
      <c r="C183" s="143"/>
      <c r="D183" s="143"/>
      <c r="E183" s="143"/>
      <c r="F183" s="143"/>
    </row>
    <row r="184" spans="1:6">
      <c r="A184" s="46">
        <v>171</v>
      </c>
      <c r="B184" s="143"/>
      <c r="C184" s="143"/>
      <c r="D184" s="143"/>
      <c r="E184" s="143"/>
      <c r="F184" s="143"/>
    </row>
    <row r="185" spans="1:6">
      <c r="A185" s="46">
        <v>172</v>
      </c>
      <c r="B185" s="143"/>
      <c r="C185" s="143"/>
      <c r="D185" s="143"/>
      <c r="E185" s="143"/>
      <c r="F185" s="143"/>
    </row>
    <row r="186" spans="1:6">
      <c r="A186" s="46">
        <v>173</v>
      </c>
      <c r="B186" s="143"/>
      <c r="C186" s="143"/>
      <c r="D186" s="143"/>
      <c r="E186" s="143"/>
      <c r="F186" s="143"/>
    </row>
    <row r="187" spans="1:6">
      <c r="A187" s="46">
        <v>174</v>
      </c>
      <c r="B187" s="143"/>
      <c r="C187" s="143"/>
      <c r="D187" s="143"/>
      <c r="E187" s="143"/>
      <c r="F187" s="143"/>
    </row>
    <row r="188" spans="1:6">
      <c r="A188" s="46">
        <v>175</v>
      </c>
      <c r="B188" s="143"/>
      <c r="C188" s="143"/>
      <c r="D188" s="143"/>
      <c r="E188" s="143"/>
      <c r="F188" s="143"/>
    </row>
    <row r="189" spans="1:6">
      <c r="A189" s="46">
        <v>176</v>
      </c>
      <c r="B189" s="143"/>
      <c r="C189" s="143"/>
      <c r="D189" s="143"/>
      <c r="E189" s="143"/>
      <c r="F189" s="143"/>
    </row>
    <row r="190" spans="1:6">
      <c r="A190" s="46">
        <v>177</v>
      </c>
      <c r="B190" s="143"/>
      <c r="C190" s="143"/>
      <c r="D190" s="143"/>
      <c r="E190" s="143"/>
      <c r="F190" s="143"/>
    </row>
    <row r="191" spans="1:6">
      <c r="A191" s="46">
        <v>178</v>
      </c>
      <c r="B191" s="143"/>
      <c r="C191" s="143"/>
      <c r="D191" s="143"/>
      <c r="E191" s="143"/>
      <c r="F191" s="143"/>
    </row>
    <row r="192" spans="1:6">
      <c r="A192" s="46">
        <v>179</v>
      </c>
      <c r="B192" s="143"/>
      <c r="C192" s="143"/>
      <c r="D192" s="143"/>
      <c r="E192" s="143"/>
      <c r="F192" s="143"/>
    </row>
    <row r="193" spans="1:6">
      <c r="A193" s="46">
        <v>180</v>
      </c>
      <c r="B193" s="143"/>
      <c r="C193" s="143"/>
      <c r="D193" s="143"/>
      <c r="E193" s="143"/>
      <c r="F193" s="143"/>
    </row>
    <row r="194" spans="1:6">
      <c r="A194" s="46">
        <v>181</v>
      </c>
      <c r="B194" s="143"/>
      <c r="C194" s="143"/>
      <c r="D194" s="143"/>
      <c r="E194" s="143"/>
      <c r="F194" s="143"/>
    </row>
    <row r="195" spans="1:6">
      <c r="A195" s="46">
        <v>182</v>
      </c>
      <c r="B195" s="143"/>
      <c r="C195" s="143"/>
      <c r="D195" s="143"/>
      <c r="E195" s="143"/>
      <c r="F195" s="143"/>
    </row>
    <row r="196" spans="1:6">
      <c r="A196" s="46">
        <v>183</v>
      </c>
      <c r="B196" s="143"/>
      <c r="C196" s="143"/>
      <c r="D196" s="143"/>
      <c r="E196" s="143"/>
      <c r="F196" s="143"/>
    </row>
    <row r="197" spans="1:6">
      <c r="A197" s="46">
        <v>184</v>
      </c>
      <c r="B197" s="143"/>
      <c r="C197" s="143"/>
      <c r="D197" s="143"/>
      <c r="E197" s="143"/>
      <c r="F197" s="143"/>
    </row>
    <row r="198" spans="1:6">
      <c r="A198" s="46">
        <v>185</v>
      </c>
      <c r="B198" s="143"/>
      <c r="C198" s="143"/>
      <c r="D198" s="143"/>
      <c r="E198" s="143"/>
      <c r="F198" s="143"/>
    </row>
    <row r="199" spans="1:6">
      <c r="A199" s="46">
        <v>186</v>
      </c>
      <c r="B199" s="143"/>
      <c r="C199" s="143"/>
      <c r="D199" s="143"/>
      <c r="E199" s="143"/>
      <c r="F199" s="143"/>
    </row>
    <row r="200" spans="1:6">
      <c r="A200" s="46">
        <v>187</v>
      </c>
      <c r="B200" s="143"/>
      <c r="C200" s="143"/>
      <c r="D200" s="143"/>
      <c r="E200" s="143"/>
      <c r="F200" s="143"/>
    </row>
    <row r="201" spans="1:6">
      <c r="A201" s="46">
        <v>188</v>
      </c>
      <c r="B201" s="143"/>
      <c r="C201" s="143"/>
      <c r="D201" s="143"/>
      <c r="E201" s="143"/>
      <c r="F201" s="143"/>
    </row>
    <row r="202" spans="1:6">
      <c r="A202" s="46">
        <v>189</v>
      </c>
      <c r="B202" s="143"/>
      <c r="C202" s="143"/>
      <c r="D202" s="143"/>
      <c r="E202" s="143"/>
      <c r="F202" s="143"/>
    </row>
    <row r="203" spans="1:6">
      <c r="A203" s="46">
        <v>190</v>
      </c>
      <c r="B203" s="143"/>
      <c r="C203" s="143"/>
      <c r="D203" s="143"/>
      <c r="E203" s="143"/>
      <c r="F203" s="143"/>
    </row>
    <row r="204" spans="1:6">
      <c r="A204" s="46">
        <v>191</v>
      </c>
      <c r="B204" s="143"/>
      <c r="C204" s="143"/>
      <c r="D204" s="143"/>
      <c r="E204" s="143"/>
      <c r="F204" s="143"/>
    </row>
    <row r="205" spans="1:6">
      <c r="A205" s="46">
        <v>192</v>
      </c>
      <c r="B205" s="143"/>
      <c r="C205" s="143"/>
      <c r="D205" s="143"/>
      <c r="E205" s="143"/>
      <c r="F205" s="143"/>
    </row>
    <row r="206" spans="1:6">
      <c r="A206" s="46">
        <v>193</v>
      </c>
      <c r="B206" s="143"/>
      <c r="C206" s="143"/>
      <c r="D206" s="143"/>
      <c r="E206" s="143"/>
      <c r="F206" s="143"/>
    </row>
    <row r="207" spans="1:6">
      <c r="A207" s="46">
        <v>194</v>
      </c>
      <c r="B207" s="143"/>
      <c r="C207" s="143"/>
      <c r="D207" s="143"/>
      <c r="E207" s="143"/>
      <c r="F207" s="143"/>
    </row>
    <row r="208" spans="1:6">
      <c r="A208" s="46">
        <v>195</v>
      </c>
      <c r="B208" s="143"/>
      <c r="C208" s="143"/>
      <c r="D208" s="143"/>
      <c r="E208" s="143"/>
      <c r="F208" s="143"/>
    </row>
    <row r="209" spans="1:6">
      <c r="A209" s="46">
        <v>196</v>
      </c>
      <c r="B209" s="143"/>
      <c r="C209" s="143"/>
      <c r="D209" s="143"/>
      <c r="E209" s="143"/>
      <c r="F209" s="143"/>
    </row>
    <row r="210" spans="1:6">
      <c r="A210" s="46">
        <v>197</v>
      </c>
      <c r="B210" s="143"/>
      <c r="C210" s="143"/>
      <c r="D210" s="143"/>
      <c r="E210" s="143"/>
      <c r="F210" s="143"/>
    </row>
    <row r="211" spans="1:6">
      <c r="A211" s="46">
        <v>198</v>
      </c>
      <c r="B211" s="143"/>
      <c r="C211" s="143"/>
      <c r="D211" s="143"/>
      <c r="E211" s="143"/>
      <c r="F211" s="143"/>
    </row>
    <row r="212" spans="1:6">
      <c r="A212" s="46">
        <v>199</v>
      </c>
      <c r="B212" s="143"/>
      <c r="C212" s="143"/>
      <c r="D212" s="143"/>
      <c r="E212" s="143"/>
      <c r="F212" s="143"/>
    </row>
    <row r="213" spans="1:6">
      <c r="A213" s="46">
        <v>200</v>
      </c>
      <c r="B213" s="143"/>
      <c r="C213" s="143"/>
      <c r="D213" s="143"/>
      <c r="E213" s="143"/>
      <c r="F213" s="143"/>
    </row>
  </sheetData>
  <sheetProtection password="CC1B" sheet="1" selectLockedCells="1"/>
  <mergeCells count="8">
    <mergeCell ref="A8:F8"/>
    <mergeCell ref="A9:F9"/>
    <mergeCell ref="A1:F1"/>
    <mergeCell ref="A2:F2"/>
    <mergeCell ref="A3:F3"/>
    <mergeCell ref="A7:F7"/>
    <mergeCell ref="A6:F6"/>
    <mergeCell ref="A5:F5"/>
  </mergeCells>
  <phoneticPr fontId="5" type="noConversion"/>
  <hyperlinks>
    <hyperlink ref="A2" r:id="rId1" display="mailto:hkcasa.org.hk@gmail.com" xr:uid="{00000000-0004-0000-0300-000000000000}"/>
  </hyperlinks>
  <pageMargins left="0.7" right="0.7" top="0.75" bottom="0.75" header="0.3" footer="0.3"/>
  <pageSetup paperSize="9" scale="64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具名範圍</vt:lpstr>
      </vt:variant>
      <vt:variant>
        <vt:i4>4</vt:i4>
      </vt:variant>
    </vt:vector>
  </HeadingPairs>
  <TitlesOfParts>
    <vt:vector size="8" baseType="lpstr">
      <vt:lpstr>報名總表及收費</vt:lpstr>
      <vt:lpstr>男</vt:lpstr>
      <vt:lpstr>女</vt:lpstr>
      <vt:lpstr>運動員註冊表</vt:lpstr>
      <vt:lpstr>女!Print_Area</vt:lpstr>
      <vt:lpstr>男!Print_Area</vt:lpstr>
      <vt:lpstr>報名總表及收費!Print_Area</vt:lpstr>
      <vt:lpstr>運動員註冊表!Print_Area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kathchan</dc:creator>
  <cp:lastModifiedBy>Ho Yat Winson Lee</cp:lastModifiedBy>
  <dcterms:created xsi:type="dcterms:W3CDTF">2019-08-15T08:49:42Z</dcterms:created>
  <dcterms:modified xsi:type="dcterms:W3CDTF">2023-10-30T15:51:48Z</dcterms:modified>
</cp:coreProperties>
</file>